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30" windowWidth="18255" windowHeight="11760" activeTab="2"/>
  </bookViews>
  <sheets>
    <sheet name="Instructions" sheetId="5" r:id="rId1"/>
    <sheet name="CharGen" sheetId="1" r:id="rId2"/>
    <sheet name="Char Sheet p1" sheetId="4" r:id="rId3"/>
    <sheet name="Char Sheet p2" sheetId="3" r:id="rId4"/>
    <sheet name="Version" sheetId="6" r:id="rId5"/>
    <sheet name="Tables" sheetId="2" state="hidden" r:id="rId6"/>
    <sheet name="Sheet1" sheetId="7" r:id="rId7"/>
  </sheets>
  <definedNames>
    <definedName name="_ben1">INDIRECT(Tables!$CT$147)</definedName>
    <definedName name="_ben2">INDIRECT(Tables!$CV$147)</definedName>
    <definedName name="_ben3">INDIRECT(Tables!$CX$147)</definedName>
    <definedName name="_ben4">INDIRECT(Tables!$CZ$147)</definedName>
    <definedName name="_ben5">INDIRECT(Tables!$DB$147)</definedName>
    <definedName name="_ben6">INDIRECT(Tables!$DD$147)</definedName>
    <definedName name="abilities">Tables!$L$1:$AD$1</definedName>
    <definedName name="abilitycost">Tables!$A$13:$B$19</definedName>
    <definedName name="actagility">CharGen!$D$8</definedName>
    <definedName name="actanimal">CharGen!$D$11</definedName>
    <definedName name="actathletics">CharGen!$D$14</definedName>
    <definedName name="actawareness">CharGen!$D$17</definedName>
    <definedName name="actcunning">CharGen!$D$20</definedName>
    <definedName name="actdeception">CharGen!$D$23</definedName>
    <definedName name="actendurance">CharGen!$D$26</definedName>
    <definedName name="actfighting">CharGen!$D$29</definedName>
    <definedName name="acthealing">CharGen!$D$32</definedName>
    <definedName name="actknowledge">CharGen!$W$8</definedName>
    <definedName name="actlanguage">CharGen!$D$35</definedName>
    <definedName name="actmarksmanship">CharGen!$W$11</definedName>
    <definedName name="actpersuasion">CharGen!$W$14</definedName>
    <definedName name="actstatus">CharGen!$W$17</definedName>
    <definedName name="actstealth">CharGen!$W$20</definedName>
    <definedName name="actsurvival">CharGen!$W$23</definedName>
    <definedName name="actthievery">CharGen!$W$26</definedName>
    <definedName name="actwarfare">CharGen!$W$29</definedName>
    <definedName name="actwill">CharGen!$W$32</definedName>
    <definedName name="age">CharGen!$F$3</definedName>
    <definedName name="agecategory">CharGen!$AM$2</definedName>
    <definedName name="agecats">Tables!$C$2:$C$9</definedName>
    <definedName name="agelookup">Tables!$A$2:$J$9</definedName>
    <definedName name="agetable">Tables!$C$2:$J$10</definedName>
    <definedName name="agility">CharGen!$B$6</definedName>
    <definedName name="agilitybonus">Tables!$AQ$326</definedName>
    <definedName name="agilitybonus2">Tables!$AQ$341</definedName>
    <definedName name="agilitymod">Tables!$AP$326</definedName>
    <definedName name="agilitymod2">Tables!$AP$341</definedName>
    <definedName name="agilitys">INDIRECT(Tables!$L$28)</definedName>
    <definedName name="agilityxp">'Char Sheet p1'!$AG$16</definedName>
    <definedName name="agispec">'Char Sheet p1'!$N$6:$Q$8</definedName>
    <definedName name="agispecval">'Char Sheet p1'!$L$6:$M$8</definedName>
    <definedName name="allqualities">Tables!$AG$1:$AO$318</definedName>
    <definedName name="animal">CharGen!$B$9</definedName>
    <definedName name="animalbonus">Tables!$AS$326</definedName>
    <definedName name="animalbonus2">Tables!$AS$341</definedName>
    <definedName name="animalmod">Tables!$AR$326</definedName>
    <definedName name="animalmod2">Tables!$AR$341</definedName>
    <definedName name="animals">INDIRECT(Tables!$M$28)</definedName>
    <definedName name="animalxp">'Char Sheet p1'!$AG$17</definedName>
    <definedName name="anispec">'Char Sheet p1'!$N$9:$Q$11</definedName>
    <definedName name="anispecval">'Char Sheet p1'!$L$9:$M$11</definedName>
    <definedName name="armour">'Char Sheet p1'!$AC$51</definedName>
    <definedName name="armourbonus">Tables!$CG$326</definedName>
    <definedName name="armourbonus2">Tables!$CG$341</definedName>
    <definedName name="armourlist">Tables!$A$22:$A$38</definedName>
    <definedName name="armourpen">'Char Sheet p1'!$AE$53</definedName>
    <definedName name="armourrating">'Char Sheet p1'!$AE$52</definedName>
    <definedName name="armourtable">Tables!$A$22:$D$38</definedName>
    <definedName name="athletics">CharGen!$B$12</definedName>
    <definedName name="athleticsbonus">Tables!$AU$326</definedName>
    <definedName name="athleticsbonus2">Tables!$AU$341</definedName>
    <definedName name="athleticsmod">Tables!$AT$326</definedName>
    <definedName name="athleticsmod2">Tables!$AT$341</definedName>
    <definedName name="athleticss">INDIRECT(Tables!$N$28)</definedName>
    <definedName name="athleticsxp">'Char Sheet p1'!$AG$18</definedName>
    <definedName name="athspec">'Char Sheet p1'!$N$12:$Q$14</definedName>
    <definedName name="athspecval">'Char Sheet p1'!$L$12:$M$14</definedName>
    <definedName name="awareness">CharGen!$B$15</definedName>
    <definedName name="awarenessbonus">Tables!$AW$326</definedName>
    <definedName name="awarenessbonus2">Tables!$AW$341</definedName>
    <definedName name="awarenessmod">Tables!$AV$326</definedName>
    <definedName name="awarenessmod2">Tables!$AV$341</definedName>
    <definedName name="awarenesss">INDIRECT(Tables!$O$28)</definedName>
    <definedName name="awarenessxp">'Char Sheet p1'!$AG$19</definedName>
    <definedName name="awaspec">'Char Sheet p1'!$N$15:$Q$16</definedName>
    <definedName name="awaspecval">'Char Sheet p1'!$L$15:$M$16</definedName>
    <definedName name="benefits">CharGen!$AG$50</definedName>
    <definedName name="birthright">Tables!$AK$1</definedName>
    <definedName name="bulk">'Char Sheet p1'!$AE$55</definedName>
    <definedName name="bulk2">'Char Sheet p1'!$AG$55</definedName>
    <definedName name="bulkbonus">Tables!$CH$326</definedName>
    <definedName name="bulkbonus2">Tables!$CH$341</definedName>
    <definedName name="cdbonus">Tables!$CE$326</definedName>
    <definedName name="cdbonus2">Tables!$CE$341</definedName>
    <definedName name="chargencomplete">Tables!$J$12:$J$13</definedName>
    <definedName name="chargenspecialities">Tables!$DT$2:$DU$58</definedName>
    <definedName name="compbonus">Tables!$CD$326</definedName>
    <definedName name="compbonus2">Tables!$CD$341</definedName>
    <definedName name="cunning">CharGen!$B$18</definedName>
    <definedName name="cunningbonus">Tables!$AY$326</definedName>
    <definedName name="cunningbonus2">Tables!$AY$341</definedName>
    <definedName name="cunningmod">Tables!$AX$326</definedName>
    <definedName name="cunningmod2">Tables!$AX$341</definedName>
    <definedName name="cunnings">INDIRECT(Tables!$P$28)</definedName>
    <definedName name="cunningxp">'Char Sheet p1'!$AG$20</definedName>
    <definedName name="cunspec">'Char Sheet p1'!$N$18:$Q$20</definedName>
    <definedName name="cunspecval">'Char Sheet p1'!$L$18:$M$20</definedName>
    <definedName name="currentdestiny">CharGen!$Z$44</definedName>
    <definedName name="deception">CharGen!$B$21</definedName>
    <definedName name="deceptionbonus">Tables!$BA$326</definedName>
    <definedName name="deceptionbonus2">Tables!$BA$341</definedName>
    <definedName name="deceptionmod">Tables!$AZ$326</definedName>
    <definedName name="deceptionmod2">Tables!$AZ$341</definedName>
    <definedName name="deceptions">INDIRECT(Tables!$Q$28)</definedName>
    <definedName name="deceptionxp">'Char Sheet p1'!$AG$21</definedName>
    <definedName name="decspec">'Char Sheet p1'!$N$21:$Q$23</definedName>
    <definedName name="decspecval">'Char Sheet p1'!$L$21:$M$23</definedName>
    <definedName name="destiny">CharGen!$J$54</definedName>
    <definedName name="destinyawarded">CharGen!#REF!</definedName>
    <definedName name="endchargen">CharGen!$AC$56</definedName>
    <definedName name="endspec">'Char Sheet p1'!$N$24:$Q$25</definedName>
    <definedName name="endspecval">'Char Sheet p1'!$L$24:$M$25</definedName>
    <definedName name="endurance">CharGen!$B$24</definedName>
    <definedName name="endurancebonus">Tables!$BC$326</definedName>
    <definedName name="endurancebonus2">Tables!$BC$341</definedName>
    <definedName name="endurancemod">Tables!$BB$326</definedName>
    <definedName name="endurancemod2">Tables!$BB$341</definedName>
    <definedName name="endurances">INDIRECT(Tables!$R$28)</definedName>
    <definedName name="endurancexp">'Char Sheet p1'!$AG$22</definedName>
    <definedName name="extra1">INDIRECT(Tables!$DJ$2)</definedName>
    <definedName name="extra2">INDIRECT(Tables!$DJ$3)</definedName>
    <definedName name="extra3">INDIRECT(Tables!$DJ$4)</definedName>
    <definedName name="extralabels">Tables!$DG$2:$DG$3</definedName>
    <definedName name="fighting">CharGen!$B$27</definedName>
    <definedName name="fightingbonus">Tables!$BE$326</definedName>
    <definedName name="fightingbonus2">Tables!$BE$341</definedName>
    <definedName name="fightingmod">Tables!$BD$326</definedName>
    <definedName name="fightingmod2">Tables!$BD$341</definedName>
    <definedName name="fightings">INDIRECT(Tables!$S$28)</definedName>
    <definedName name="fightingxp">'Char Sheet p1'!$AG$23</definedName>
    <definedName name="figspec">'Char Sheet p1'!$N$27:$Q$29</definedName>
    <definedName name="figspecval">'Char Sheet p1'!$L$27:$M$29</definedName>
    <definedName name="flaw1">INDIRECT(Tables!$CL$326)</definedName>
    <definedName name="flaw2">INDIRECT(Tables!$CN$326)</definedName>
    <definedName name="flaw3">INDIRECT(Tables!$CP$326)</definedName>
    <definedName name="flaw4">INDIRECT(Tables!$CR$326)</definedName>
    <definedName name="flaws">CharGen!$AH$50</definedName>
    <definedName name="flawsawarded">CharGen!$AL$19</definedName>
    <definedName name="flawstable">Tables!$AG$236:$AN$318</definedName>
    <definedName name="gender">CharGen!$P$3</definedName>
    <definedName name="healing">CharGen!$B$30</definedName>
    <definedName name="healingbonus">Tables!$BG$326</definedName>
    <definedName name="healingbonus2">Tables!$BG$341</definedName>
    <definedName name="healingmod">Tables!$BF$326</definedName>
    <definedName name="healingmod2">Tables!$BF$341</definedName>
    <definedName name="healings">INDIRECT(Tables!$T$28)</definedName>
    <definedName name="healingxp">'Char Sheet p1'!$AG$24</definedName>
    <definedName name="healthbonus">Tables!$CF$326</definedName>
    <definedName name="healthbonus2">Tables!$CF$341</definedName>
    <definedName name="heaspec">'Char Sheet p1'!$N$30:$Q$32</definedName>
    <definedName name="heaspecval">'Char Sheet p1'!$L$30:$M$32</definedName>
    <definedName name="heritage">Tables!$AL$1</definedName>
    <definedName name="heroicability">'Char Sheet p1'!$AH$5</definedName>
    <definedName name="IDbonus">Tables!$CC$326</definedName>
    <definedName name="IDbonus2">Tables!$CC$341</definedName>
    <definedName name="knospec">'Char Sheet p1'!$AD$6:$AE$8</definedName>
    <definedName name="knospecval">'Char Sheet p1'!$AC$6:$AC$8</definedName>
    <definedName name="knowledge">CharGen!$T$6</definedName>
    <definedName name="knowledgebonus">Tables!$BI$326</definedName>
    <definedName name="knowledgebonus2">Tables!$BI$341</definedName>
    <definedName name="knowledgemod">Tables!$BH$326</definedName>
    <definedName name="knowledgemod2">Tables!$BH$341</definedName>
    <definedName name="knowledges">INDIRECT(Tables!$U$28)</definedName>
    <definedName name="knowledgexp">'Char Sheet p1'!$AG$25</definedName>
    <definedName name="language">CharGen!$B$33</definedName>
    <definedName name="languagebonus">Tables!$BK$326</definedName>
    <definedName name="languagebonus2">Tables!$BK$341</definedName>
    <definedName name="languagemod">Tables!$BJ$326</definedName>
    <definedName name="languagemod2">Tables!$BJ$341</definedName>
    <definedName name="languages">INDIRECT(Tables!$V$28)</definedName>
    <definedName name="languagexp">'Char Sheet p1'!$AG$26</definedName>
    <definedName name="marksmanship">CharGen!$T$9</definedName>
    <definedName name="marksmanshipbonus">Tables!$BM$326</definedName>
    <definedName name="marksmanshipbonus2">Tables!$BM$341</definedName>
    <definedName name="marksmanshipmod">Tables!$BL$326</definedName>
    <definedName name="marksmanshipmod2">Tables!$BL$341</definedName>
    <definedName name="marksmanships">INDIRECT(Tables!$W$28)</definedName>
    <definedName name="marksmanshipxp">'Char Sheet p1'!$AG$27</definedName>
    <definedName name="marspec">'Char Sheet p1'!$AD$9:$AE$11</definedName>
    <definedName name="marspecval">'Char Sheet p1'!$AC$9:$AC$11</definedName>
    <definedName name="maxability">CharGen!$AM$3</definedName>
    <definedName name="middleagerange">Tables!$CY$239</definedName>
    <definedName name="move">CharGen!$AC$45</definedName>
    <definedName name="movebonus">Tables!$CI$326</definedName>
    <definedName name="movebonus2">Tables!$CI$341</definedName>
    <definedName name="nonerange">Tables!$DE$3</definedName>
    <definedName name="oldrange">Tables!$CZ$244</definedName>
    <definedName name="otherlangs">INDIRECT(Tables!$AE$28)</definedName>
    <definedName name="passiveaware">Tables!$CB$326</definedName>
    <definedName name="passiveaware2">Tables!$CB$341</definedName>
    <definedName name="permittedbens">CharGen!$J$56</definedName>
    <definedName name="perspec">'Char Sheet p1'!$AD$12:$AE$14</definedName>
    <definedName name="perspecval">'Char Sheet p1'!$AC$12:$AC$14</definedName>
    <definedName name="persuasion">CharGen!$T$12</definedName>
    <definedName name="persuasionbonus">Tables!$BO$326</definedName>
    <definedName name="persuasionbonus2">Tables!$BO$341</definedName>
    <definedName name="persuasionmod">Tables!$BN$326</definedName>
    <definedName name="persuasionmod2">Tables!$BN$341</definedName>
    <definedName name="persuasions">INDIRECT(Tables!$X$28)</definedName>
    <definedName name="persuasionxp">'Char Sheet p1'!$AG$28</definedName>
    <definedName name="playername">CharGen!$AC$4</definedName>
    <definedName name="powerful">Tables!$Q$39</definedName>
    <definedName name="_xlnm.Print_Area" localSheetId="2">'Char Sheet p1'!$A$1:$AF$59</definedName>
    <definedName name="_xlnm.Print_Area" localSheetId="1">CharGen!$A$1:$AF$50</definedName>
    <definedName name="_xlnm.Print_Area" localSheetId="0">Instructions!$A$1:$F$53</definedName>
    <definedName name="qualities">'Char Sheet p1'!$B$38:$O$49</definedName>
    <definedName name="quality1">INDIRECT(Tables!$CL$147)</definedName>
    <definedName name="quality2">INDIRECT(Tables!$CN$147)</definedName>
    <definedName name="quality3">INDIRECT(Tables!$CP$147)</definedName>
    <definedName name="quality4">INDIRECT(Tables!$CT$147)</definedName>
    <definedName name="quality5">INDIRECT(Tables!$DF$147)</definedName>
    <definedName name="quality6">INDIRECT(Tables!#REF!)</definedName>
    <definedName name="qualityfull">'Char Sheet p1'!$BJ$14</definedName>
    <definedName name="qualitylookup">Tables!$F$34:$J$37</definedName>
    <definedName name="remainingflaws">CharGen!$Q$57</definedName>
    <definedName name="requiredflaws">CharGen!$Q$56</definedName>
    <definedName name="shields">Tables!$G$22:$I$25</definedName>
    <definedName name="specialist2rank">CharGen!$AC$6:$AC$35</definedName>
    <definedName name="speciality1">CharGen!$N$6:$Q$35</definedName>
    <definedName name="speciality1rank">CharGen!$L$6:$M$35</definedName>
    <definedName name="speciality2">CharGen!$AD$6:$AE$35</definedName>
    <definedName name="specialitylookup">INDIRECT(Tables!$DS$1)</definedName>
    <definedName name="sprint">CharGen!$AE$45</definedName>
    <definedName name="sprintbonus">Tables!$CJ$326</definedName>
    <definedName name="sprintbonus2">Tables!$CJ$341</definedName>
    <definedName name="staspec">'Char Sheet p1'!$AD$15:$AE$17</definedName>
    <definedName name="staspecval">'Char Sheet p1'!$AC$15:$AC$17</definedName>
    <definedName name="status">CharGen!$T$15</definedName>
    <definedName name="statusbonus">Tables!$BQ$326</definedName>
    <definedName name="statusbonus2">Tables!$BQ$341</definedName>
    <definedName name="statusmod">Tables!$BP$326</definedName>
    <definedName name="statusmod2">Tables!$BP$341</definedName>
    <definedName name="statuss">INDIRECT(Tables!$Y$28)</definedName>
    <definedName name="statusxp">'Char Sheet p1'!$AG$29</definedName>
    <definedName name="stealth">CharGen!$T$18</definedName>
    <definedName name="stealthbonus">Tables!$BS$326</definedName>
    <definedName name="stealthbonus2">Tables!$BS$341</definedName>
    <definedName name="stealthmod">Tables!$BR$326</definedName>
    <definedName name="stealthmod2">Tables!$BR$341</definedName>
    <definedName name="stealths">INDIRECT(Tables!$Z$28)</definedName>
    <definedName name="stealthxp">'Char Sheet p1'!$AG$30</definedName>
    <definedName name="stespec">'Char Sheet p1'!$AD$18:$AE$19</definedName>
    <definedName name="stespecval">'Char Sheet p1'!$AC$18:$AC$19</definedName>
    <definedName name="surspec">'Char Sheet p1'!$AD$21:$AE$23</definedName>
    <definedName name="surspecval">'Char Sheet p1'!$AC$21:$AC$23</definedName>
    <definedName name="survival">CharGen!$T$21</definedName>
    <definedName name="survivalbonus">Tables!$BU$326</definedName>
    <definedName name="survivalbonus2">Tables!$BU$341</definedName>
    <definedName name="survivalmod">Tables!$BT$326</definedName>
    <definedName name="survivalmod2">Tables!$BT$341</definedName>
    <definedName name="survivals">INDIRECT(Tables!$AA$28)</definedName>
    <definedName name="survivalxp">'Char Sheet p1'!$AG$31</definedName>
    <definedName name="thievery">CharGen!$T$24</definedName>
    <definedName name="thieverybonus">Tables!$BW$326</definedName>
    <definedName name="thieverybonus2">Tables!$BW$341</definedName>
    <definedName name="thieverymod">Tables!$BV$326</definedName>
    <definedName name="thieverymod2">Tables!$BV$341</definedName>
    <definedName name="thieverys">INDIRECT(Tables!$AB$28)</definedName>
    <definedName name="thieveryxp">'Char Sheet p1'!$AG$32</definedName>
    <definedName name="thispec">'Char Sheet p1'!$AD$24:$AE$26</definedName>
    <definedName name="thispecval">'Char Sheet p1'!$AC$24:$AC$26</definedName>
    <definedName name="warfare">CharGen!$T$27</definedName>
    <definedName name="warfarebonus">Tables!$BY$326</definedName>
    <definedName name="warfarebonus2">Tables!$BY$341</definedName>
    <definedName name="warfaremod">Tables!$BX$326</definedName>
    <definedName name="warfaremod2">Tables!$BX$341</definedName>
    <definedName name="warfares">INDIRECT(Tables!$AC$28)</definedName>
    <definedName name="warfarexp">'Char Sheet p1'!$AG$33</definedName>
    <definedName name="warspec">'Char Sheet p1'!$AD$27:$AE$29</definedName>
    <definedName name="warspecval">'Char Sheet p1'!$AC$27:$AC$29</definedName>
    <definedName name="weaponlookup">INDIRECT(Tables!$C$39)</definedName>
    <definedName name="weapontable">Tables!$C$41:$AC$114</definedName>
    <definedName name="weapontypes">Tables!$A$41:$B$92</definedName>
    <definedName name="weapquality">INDIRECT(Tables!$J$38)</definedName>
    <definedName name="will">CharGen!$T$30</definedName>
    <definedName name="willbonus">Tables!$CA$326</definedName>
    <definedName name="willbonus2">Tables!$CA$341</definedName>
    <definedName name="willmod">Tables!$BZ$326</definedName>
    <definedName name="willmod2">Tables!$BZ$341</definedName>
    <definedName name="wills">INDIRECT(Tables!$AD$28)</definedName>
    <definedName name="willxp">'Char Sheet p1'!$AG$34</definedName>
    <definedName name="wilspec">'Char Sheet p1'!$AD$30:$AE$32</definedName>
    <definedName name="wilspecval">'Char Sheet p1'!$AC$30:$AC$32</definedName>
    <definedName name="xpspecialities">'Char Sheet p1'!$AW$7:$AX$35</definedName>
  </definedNames>
  <calcPr calcId="125725"/>
</workbook>
</file>

<file path=xl/calcChain.xml><?xml version="1.0" encoding="utf-8"?>
<calcChain xmlns="http://schemas.openxmlformats.org/spreadsheetml/2006/main">
  <c r="AN5" i="4"/>
  <c r="DT41" i="2"/>
  <c r="DT44"/>
  <c r="DT58"/>
  <c r="DT57"/>
  <c r="DT56"/>
  <c r="DT55"/>
  <c r="DT54"/>
  <c r="DT53"/>
  <c r="DT52"/>
  <c r="DT51"/>
  <c r="DT50"/>
  <c r="DT49"/>
  <c r="DT48"/>
  <c r="DT47"/>
  <c r="DT46"/>
  <c r="DT45"/>
  <c r="DT43"/>
  <c r="DT42"/>
  <c r="DT40"/>
  <c r="DT39"/>
  <c r="DT38"/>
  <c r="DT37"/>
  <c r="DT36"/>
  <c r="DT35"/>
  <c r="DT34"/>
  <c r="DT33"/>
  <c r="DT32"/>
  <c r="DT31"/>
  <c r="DT30"/>
  <c r="DT29"/>
  <c r="DT28"/>
  <c r="DT27"/>
  <c r="DT26"/>
  <c r="DT25"/>
  <c r="DT24"/>
  <c r="DT23"/>
  <c r="DT22"/>
  <c r="DT21"/>
  <c r="DT20"/>
  <c r="DT19"/>
  <c r="DT18"/>
  <c r="DT17"/>
  <c r="DT16"/>
  <c r="DT15"/>
  <c r="DT14"/>
  <c r="DT13"/>
  <c r="DT12"/>
  <c r="DT11"/>
  <c r="DT10"/>
  <c r="DT9"/>
  <c r="DT8"/>
  <c r="DT7"/>
  <c r="DT6"/>
  <c r="DT5"/>
  <c r="DT4"/>
  <c r="DT3"/>
  <c r="DT2"/>
  <c r="BA53"/>
  <c r="AG38" i="1"/>
  <c r="AG39"/>
  <c r="AG41"/>
  <c r="AG50"/>
  <c r="AM2"/>
  <c r="J54"/>
  <c r="AH42"/>
  <c r="AH43"/>
  <c r="AH44"/>
  <c r="AH45"/>
  <c r="AH46"/>
  <c r="AH47"/>
  <c r="AH48"/>
  <c r="AH49"/>
  <c r="AH50"/>
  <c r="Q56"/>
  <c r="Z44"/>
  <c r="AG31"/>
  <c r="AG28"/>
  <c r="AG22"/>
  <c r="AG10"/>
  <c r="AG25"/>
  <c r="AG27"/>
  <c r="AG30"/>
  <c r="AG24"/>
  <c r="AG21"/>
  <c r="AG7"/>
  <c r="AG13"/>
  <c r="AG16"/>
  <c r="AG19"/>
  <c r="AG6"/>
  <c r="AG9"/>
  <c r="AG12"/>
  <c r="AG15"/>
  <c r="AG18"/>
  <c r="AG32"/>
  <c r="AG33"/>
  <c r="AH33"/>
  <c r="AI33"/>
  <c r="AG34"/>
  <c r="AH34"/>
  <c r="AI34"/>
  <c r="AG35"/>
  <c r="AH35"/>
  <c r="AI35"/>
  <c r="AL10"/>
  <c r="AL8"/>
  <c r="AM10"/>
  <c r="AL16"/>
  <c r="AL14"/>
  <c r="AM16"/>
  <c r="DU20" i="2"/>
  <c r="DU41"/>
  <c r="AO228"/>
  <c r="AO229"/>
  <c r="AO230"/>
  <c r="AO231"/>
  <c r="CE231"/>
  <c r="AO232"/>
  <c r="CE232"/>
  <c r="AO233"/>
  <c r="CE233"/>
  <c r="AO319"/>
  <c r="CE319"/>
  <c r="AO320"/>
  <c r="CE320"/>
  <c r="AO321"/>
  <c r="CE321"/>
  <c r="AO322"/>
  <c r="AO323"/>
  <c r="AO324"/>
  <c r="CE324"/>
  <c r="AO325"/>
  <c r="CE325"/>
  <c r="BD4" i="4"/>
  <c r="BF4"/>
  <c r="BD5"/>
  <c r="BD6"/>
  <c r="BD7"/>
  <c r="BD8"/>
  <c r="BD9"/>
  <c r="BF9"/>
  <c r="BD10"/>
  <c r="BF10"/>
  <c r="BD11"/>
  <c r="BF11"/>
  <c r="BD12"/>
  <c r="BF12"/>
  <c r="BD13"/>
  <c r="BF13"/>
  <c r="Z54"/>
  <c r="DU23" i="2"/>
  <c r="CI231"/>
  <c r="CI232"/>
  <c r="CI233"/>
  <c r="CI319"/>
  <c r="CI320"/>
  <c r="CI321"/>
  <c r="CI324"/>
  <c r="CI325"/>
  <c r="CH231"/>
  <c r="CH232"/>
  <c r="CH233"/>
  <c r="CH319"/>
  <c r="CH320"/>
  <c r="CH321"/>
  <c r="CH324"/>
  <c r="CH325"/>
  <c r="AO328"/>
  <c r="CH328"/>
  <c r="AO329"/>
  <c r="CH329"/>
  <c r="AO330"/>
  <c r="CH330"/>
  <c r="AO331"/>
  <c r="CH331"/>
  <c r="AO332"/>
  <c r="CH332"/>
  <c r="AO333"/>
  <c r="CH333"/>
  <c r="AO335"/>
  <c r="CH335"/>
  <c r="AO336"/>
  <c r="CH336"/>
  <c r="AO337"/>
  <c r="CH337"/>
  <c r="AO338"/>
  <c r="CH338"/>
  <c r="AO339"/>
  <c r="CH339"/>
  <c r="AO340"/>
  <c r="CH340"/>
  <c r="Z52" i="4"/>
  <c r="Z53"/>
  <c r="Z55"/>
  <c r="Z56"/>
  <c r="Z57"/>
  <c r="Z58"/>
  <c r="CJ231" i="2"/>
  <c r="CJ232"/>
  <c r="CJ233"/>
  <c r="CJ319"/>
  <c r="CJ320"/>
  <c r="CJ321"/>
  <c r="CJ324"/>
  <c r="CJ325"/>
  <c r="CJ328"/>
  <c r="CJ329"/>
  <c r="CJ330"/>
  <c r="CJ331"/>
  <c r="CJ332"/>
  <c r="CJ333"/>
  <c r="CJ335"/>
  <c r="CJ336"/>
  <c r="CJ337"/>
  <c r="CJ338"/>
  <c r="CJ339"/>
  <c r="CJ340"/>
  <c r="Q57" i="1"/>
  <c r="T48"/>
  <c r="AC56"/>
  <c r="AG18" i="4"/>
  <c r="X58"/>
  <c r="P58"/>
  <c r="N58"/>
  <c r="CI328" i="2"/>
  <c r="CI329"/>
  <c r="CI330"/>
  <c r="CI331"/>
  <c r="CI332"/>
  <c r="CI333"/>
  <c r="CI335"/>
  <c r="CI336"/>
  <c r="CI337"/>
  <c r="CI338"/>
  <c r="CI339"/>
  <c r="CI340"/>
  <c r="BE5" i="4"/>
  <c r="BF5" s="1"/>
  <c r="BE6"/>
  <c r="BF6" s="1"/>
  <c r="BE7"/>
  <c r="BF7" s="1"/>
  <c r="BE8"/>
  <c r="BF8" s="1"/>
  <c r="BE9"/>
  <c r="BE10"/>
  <c r="BE11"/>
  <c r="BE12"/>
  <c r="BE13"/>
  <c r="BD15"/>
  <c r="BF15"/>
  <c r="BD16"/>
  <c r="BF16"/>
  <c r="BD17"/>
  <c r="BF17"/>
  <c r="BD18"/>
  <c r="BF18"/>
  <c r="BD19"/>
  <c r="BF19"/>
  <c r="BD20"/>
  <c r="BF20"/>
  <c r="BD22"/>
  <c r="BF22"/>
  <c r="BD23"/>
  <c r="BF23"/>
  <c r="BD24"/>
  <c r="BF24"/>
  <c r="BD25"/>
  <c r="BF25"/>
  <c r="BD26"/>
  <c r="BF26"/>
  <c r="BD27"/>
  <c r="BF27"/>
  <c r="F114" i="2"/>
  <c r="F113"/>
  <c r="F112"/>
  <c r="F111"/>
  <c r="F110"/>
  <c r="F109"/>
  <c r="F108"/>
  <c r="F107"/>
  <c r="F106"/>
  <c r="F105"/>
  <c r="F104"/>
  <c r="F103"/>
  <c r="F102"/>
  <c r="F101"/>
  <c r="F100"/>
  <c r="F99"/>
  <c r="A67"/>
  <c r="A68"/>
  <c r="DU24"/>
  <c r="AQ231"/>
  <c r="AQ232"/>
  <c r="AQ233"/>
  <c r="AQ319"/>
  <c r="AQ320"/>
  <c r="AQ321"/>
  <c r="AQ324"/>
  <c r="AQ325"/>
  <c r="AQ328"/>
  <c r="AQ329"/>
  <c r="AQ330"/>
  <c r="AQ331"/>
  <c r="AQ332"/>
  <c r="AQ333"/>
  <c r="AQ335"/>
  <c r="AQ336"/>
  <c r="AQ337"/>
  <c r="AQ338"/>
  <c r="AQ339"/>
  <c r="AQ340"/>
  <c r="AE53" i="4"/>
  <c r="DU8" i="2"/>
  <c r="DU9"/>
  <c r="AA99"/>
  <c r="AA114"/>
  <c r="AA113"/>
  <c r="AA112"/>
  <c r="AA111"/>
  <c r="AA110"/>
  <c r="AA109"/>
  <c r="AA108"/>
  <c r="AA107"/>
  <c r="AA106"/>
  <c r="AA105"/>
  <c r="AA104"/>
  <c r="AA103"/>
  <c r="AA102"/>
  <c r="AA101"/>
  <c r="AA100"/>
  <c r="AA94"/>
  <c r="AA66"/>
  <c r="AA64"/>
  <c r="AA63"/>
  <c r="AA59"/>
  <c r="AA58"/>
  <c r="AA57"/>
  <c r="AA56"/>
  <c r="AA43"/>
  <c r="AA42"/>
  <c r="AA41"/>
  <c r="Z2" i="4"/>
  <c r="X57"/>
  <c r="X56"/>
  <c r="X55"/>
  <c r="N57"/>
  <c r="N56"/>
  <c r="DU35" i="2"/>
  <c r="DU25"/>
  <c r="N55" i="4"/>
  <c r="DU42" i="2"/>
  <c r="DU56"/>
  <c r="DU14"/>
  <c r="DU53"/>
  <c r="AN2"/>
  <c r="AN3"/>
  <c r="AN4"/>
  <c r="AN5"/>
  <c r="AN6"/>
  <c r="AN7"/>
  <c r="AN8"/>
  <c r="AN9"/>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N118"/>
  <c r="AN119"/>
  <c r="AN120"/>
  <c r="AN121"/>
  <c r="AN122"/>
  <c r="AN123"/>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6"/>
  <c r="AN167"/>
  <c r="AN168"/>
  <c r="AN169"/>
  <c r="AN170"/>
  <c r="AN171"/>
  <c r="AN172"/>
  <c r="AN173"/>
  <c r="AN174"/>
  <c r="AN175"/>
  <c r="AN176"/>
  <c r="AN177"/>
  <c r="AN178"/>
  <c r="AN179"/>
  <c r="AN180"/>
  <c r="AN181"/>
  <c r="AN182"/>
  <c r="AN183"/>
  <c r="AN184"/>
  <c r="AN185"/>
  <c r="AN186"/>
  <c r="AN187"/>
  <c r="AN188"/>
  <c r="AN189"/>
  <c r="AN190"/>
  <c r="AN191"/>
  <c r="AN192"/>
  <c r="AN193"/>
  <c r="AN194"/>
  <c r="AN195"/>
  <c r="AN196"/>
  <c r="AN197"/>
  <c r="AN198"/>
  <c r="AN199"/>
  <c r="AN200"/>
  <c r="AN201"/>
  <c r="AN202"/>
  <c r="AN203"/>
  <c r="AN204"/>
  <c r="AN205"/>
  <c r="AN206"/>
  <c r="AN207"/>
  <c r="AN208"/>
  <c r="AN209"/>
  <c r="AN210"/>
  <c r="AN211"/>
  <c r="AN212"/>
  <c r="AN213"/>
  <c r="AN214"/>
  <c r="AN215"/>
  <c r="AN216"/>
  <c r="AN217"/>
  <c r="AN218"/>
  <c r="AN219"/>
  <c r="AN220"/>
  <c r="AN221"/>
  <c r="AN222"/>
  <c r="AN223"/>
  <c r="AN224"/>
  <c r="AN225"/>
  <c r="AN226"/>
  <c r="DU21"/>
  <c r="BB231"/>
  <c r="BB232"/>
  <c r="BB233"/>
  <c r="BB319"/>
  <c r="BB320"/>
  <c r="BB321"/>
  <c r="BB324"/>
  <c r="BB325"/>
  <c r="DU44"/>
  <c r="DU37"/>
  <c r="DU36"/>
  <c r="DU32"/>
  <c r="DU11"/>
  <c r="DU12"/>
  <c r="A89"/>
  <c r="B89"/>
  <c r="A88"/>
  <c r="B88"/>
  <c r="AV231"/>
  <c r="AV232"/>
  <c r="AV233"/>
  <c r="AV319"/>
  <c r="AV320"/>
  <c r="AV321"/>
  <c r="AV324"/>
  <c r="AV325"/>
  <c r="CB89"/>
  <c r="CB231"/>
  <c r="CB232"/>
  <c r="CB233"/>
  <c r="CB319"/>
  <c r="CB320"/>
  <c r="CB321"/>
  <c r="CB324"/>
  <c r="CB325"/>
  <c r="DU38"/>
  <c r="DU5"/>
  <c r="DU3"/>
  <c r="DU2"/>
  <c r="CG231"/>
  <c r="CG232"/>
  <c r="CG233"/>
  <c r="CG319"/>
  <c r="CG320"/>
  <c r="CG321"/>
  <c r="CG324"/>
  <c r="CG325"/>
  <c r="CG328"/>
  <c r="CG329"/>
  <c r="CG330"/>
  <c r="CG331"/>
  <c r="CG332"/>
  <c r="CG333"/>
  <c r="CG335"/>
  <c r="CG336"/>
  <c r="CG337"/>
  <c r="CG338"/>
  <c r="CG339"/>
  <c r="CG340"/>
  <c r="B38"/>
  <c r="B37"/>
  <c r="B36"/>
  <c r="B35"/>
  <c r="B34"/>
  <c r="B33"/>
  <c r="AG51" i="4" s="1"/>
  <c r="B32" i="2"/>
  <c r="B31"/>
  <c r="B30"/>
  <c r="B29"/>
  <c r="B28"/>
  <c r="B27"/>
  <c r="B26"/>
  <c r="B25"/>
  <c r="B24"/>
  <c r="B23"/>
  <c r="CF231"/>
  <c r="CF232"/>
  <c r="CF233"/>
  <c r="CF319"/>
  <c r="CF320"/>
  <c r="CF321"/>
  <c r="CF324"/>
  <c r="CF325"/>
  <c r="CF328"/>
  <c r="CF329"/>
  <c r="CF330"/>
  <c r="CF331"/>
  <c r="CF332"/>
  <c r="CF333"/>
  <c r="CF335"/>
  <c r="CF336"/>
  <c r="CF337"/>
  <c r="CF338"/>
  <c r="CF339"/>
  <c r="CF340"/>
  <c r="AG22" i="4"/>
  <c r="CE328" i="2"/>
  <c r="CE329"/>
  <c r="CE330"/>
  <c r="CE331"/>
  <c r="CE332"/>
  <c r="CE333"/>
  <c r="CE335"/>
  <c r="CE336"/>
  <c r="CE337"/>
  <c r="CE338"/>
  <c r="CE339"/>
  <c r="CE340"/>
  <c r="AG16" i="4"/>
  <c r="AG19"/>
  <c r="CD231" i="2"/>
  <c r="CD232"/>
  <c r="CD233"/>
  <c r="CD319"/>
  <c r="CD320"/>
  <c r="CD321"/>
  <c r="CD324"/>
  <c r="CD325"/>
  <c r="CD328"/>
  <c r="CD329"/>
  <c r="CD330"/>
  <c r="CD331"/>
  <c r="CD332"/>
  <c r="CD333"/>
  <c r="CD335"/>
  <c r="CD336"/>
  <c r="CD337"/>
  <c r="CD338"/>
  <c r="CD339"/>
  <c r="CD340"/>
  <c r="AG34" i="4"/>
  <c r="CC231" i="2"/>
  <c r="CC232"/>
  <c r="CC233"/>
  <c r="CC319"/>
  <c r="CC320"/>
  <c r="CC321"/>
  <c r="CC324"/>
  <c r="CC325"/>
  <c r="CC328"/>
  <c r="CC329"/>
  <c r="CC330"/>
  <c r="CC331"/>
  <c r="CC332"/>
  <c r="CC333"/>
  <c r="CC335"/>
  <c r="CC336"/>
  <c r="CC337"/>
  <c r="CC338"/>
  <c r="CC339"/>
  <c r="CC340"/>
  <c r="AG20" i="4"/>
  <c r="AG29"/>
  <c r="CA231" i="2"/>
  <c r="CA232"/>
  <c r="CA233"/>
  <c r="CA319"/>
  <c r="CA320"/>
  <c r="CA321"/>
  <c r="CA324"/>
  <c r="CA325"/>
  <c r="CA328"/>
  <c r="CA329"/>
  <c r="CA330"/>
  <c r="CA331"/>
  <c r="CA332"/>
  <c r="CA333"/>
  <c r="CA335"/>
  <c r="CA336"/>
  <c r="CA337"/>
  <c r="CA338"/>
  <c r="CA339"/>
  <c r="CA340"/>
  <c r="BY231"/>
  <c r="BY232"/>
  <c r="BY233"/>
  <c r="BY319"/>
  <c r="BY320"/>
  <c r="BY321"/>
  <c r="BY324"/>
  <c r="BY325"/>
  <c r="BY328"/>
  <c r="BY329"/>
  <c r="BY330"/>
  <c r="BY331"/>
  <c r="BY332"/>
  <c r="BY333"/>
  <c r="BY335"/>
  <c r="BY336"/>
  <c r="BY337"/>
  <c r="BY338"/>
  <c r="BY339"/>
  <c r="BY340"/>
  <c r="BW231"/>
  <c r="BW232"/>
  <c r="BW233"/>
  <c r="BW319"/>
  <c r="BW320"/>
  <c r="BW321"/>
  <c r="BW324"/>
  <c r="BW325"/>
  <c r="BW328"/>
  <c r="BW329"/>
  <c r="BW330"/>
  <c r="BW331"/>
  <c r="BW332"/>
  <c r="BW333"/>
  <c r="BW335"/>
  <c r="BW336"/>
  <c r="BW337"/>
  <c r="BW338"/>
  <c r="BW339"/>
  <c r="BW340"/>
  <c r="BU231"/>
  <c r="BU232"/>
  <c r="BU233"/>
  <c r="BU319"/>
  <c r="BU320"/>
  <c r="BU321"/>
  <c r="BU324"/>
  <c r="BU325"/>
  <c r="BU328"/>
  <c r="BU329"/>
  <c r="BU330"/>
  <c r="BU331"/>
  <c r="BU332"/>
  <c r="BU333"/>
  <c r="BU335"/>
  <c r="BU336"/>
  <c r="BU337"/>
  <c r="BU338"/>
  <c r="BU339"/>
  <c r="BU340"/>
  <c r="BS231"/>
  <c r="BS232"/>
  <c r="BS233"/>
  <c r="BS319"/>
  <c r="BS320"/>
  <c r="BS321"/>
  <c r="BS324"/>
  <c r="BS325"/>
  <c r="BS328"/>
  <c r="BS329"/>
  <c r="BS330"/>
  <c r="BS331"/>
  <c r="BS332"/>
  <c r="BS333"/>
  <c r="BS335"/>
  <c r="BS336"/>
  <c r="BS337"/>
  <c r="BS338"/>
  <c r="BS339"/>
  <c r="BS340"/>
  <c r="BQ231"/>
  <c r="BQ232"/>
  <c r="BQ233"/>
  <c r="BQ319"/>
  <c r="BQ320"/>
  <c r="BQ321"/>
  <c r="BQ324"/>
  <c r="BQ325"/>
  <c r="BQ328"/>
  <c r="BQ329"/>
  <c r="BQ330"/>
  <c r="BQ331"/>
  <c r="BQ332"/>
  <c r="BQ333"/>
  <c r="BQ335"/>
  <c r="BQ336"/>
  <c r="BQ337"/>
  <c r="BQ338"/>
  <c r="BQ339"/>
  <c r="BQ340"/>
  <c r="BO231"/>
  <c r="BO232"/>
  <c r="BO233"/>
  <c r="BO319"/>
  <c r="BO320"/>
  <c r="BO321"/>
  <c r="BO324"/>
  <c r="BO325"/>
  <c r="BO328"/>
  <c r="BO329"/>
  <c r="BO330"/>
  <c r="BO331"/>
  <c r="BO332"/>
  <c r="BO333"/>
  <c r="BO335"/>
  <c r="BO336"/>
  <c r="BO337"/>
  <c r="BO338"/>
  <c r="BO339"/>
  <c r="BO340"/>
  <c r="BM231"/>
  <c r="BM232"/>
  <c r="BM233"/>
  <c r="BM319"/>
  <c r="BM320"/>
  <c r="BM321"/>
  <c r="BM324"/>
  <c r="BM325"/>
  <c r="BM328"/>
  <c r="BM329"/>
  <c r="BM330"/>
  <c r="BM331"/>
  <c r="BM332"/>
  <c r="BM333"/>
  <c r="BM335"/>
  <c r="BM336"/>
  <c r="BM337"/>
  <c r="BM338"/>
  <c r="BM339"/>
  <c r="BM340"/>
  <c r="BI231"/>
  <c r="BI232"/>
  <c r="BI233"/>
  <c r="BI319"/>
  <c r="BI320"/>
  <c r="BI321"/>
  <c r="BI324"/>
  <c r="BI325"/>
  <c r="BI328"/>
  <c r="BI329"/>
  <c r="BI330"/>
  <c r="BI331"/>
  <c r="BI332"/>
  <c r="BI333"/>
  <c r="BI335"/>
  <c r="BI336"/>
  <c r="BI337"/>
  <c r="BI338"/>
  <c r="BI339"/>
  <c r="BI340"/>
  <c r="BZ231"/>
  <c r="BZ232"/>
  <c r="BZ233"/>
  <c r="BZ319"/>
  <c r="BZ320"/>
  <c r="BZ321"/>
  <c r="BZ324"/>
  <c r="BZ325"/>
  <c r="BZ328"/>
  <c r="BZ329"/>
  <c r="BZ330"/>
  <c r="BZ331"/>
  <c r="BZ332"/>
  <c r="BZ333"/>
  <c r="BZ335"/>
  <c r="BZ336"/>
  <c r="BZ337"/>
  <c r="BZ338"/>
  <c r="BZ339"/>
  <c r="BZ340"/>
  <c r="BX231"/>
  <c r="BX232"/>
  <c r="BX233"/>
  <c r="BX319"/>
  <c r="BX320"/>
  <c r="BX321"/>
  <c r="BX324"/>
  <c r="BX325"/>
  <c r="BX328"/>
  <c r="BX329"/>
  <c r="BX330"/>
  <c r="BX331"/>
  <c r="BX332"/>
  <c r="BX333"/>
  <c r="BX335"/>
  <c r="BX336"/>
  <c r="BX337"/>
  <c r="BX338"/>
  <c r="BX339"/>
  <c r="BX340"/>
  <c r="AG33" i="4"/>
  <c r="BV231" i="2"/>
  <c r="BV232"/>
  <c r="BV233"/>
  <c r="BV319"/>
  <c r="BV320"/>
  <c r="BV321"/>
  <c r="BV324"/>
  <c r="BV325"/>
  <c r="BV328"/>
  <c r="BV329"/>
  <c r="BV330"/>
  <c r="BV331"/>
  <c r="BV332"/>
  <c r="BV333"/>
  <c r="BV335"/>
  <c r="BV336"/>
  <c r="BV337"/>
  <c r="BV338"/>
  <c r="BV339"/>
  <c r="BV340"/>
  <c r="AG32" i="4"/>
  <c r="BT231" i="2"/>
  <c r="BT232"/>
  <c r="BT233"/>
  <c r="BT319"/>
  <c r="BT320"/>
  <c r="BT321"/>
  <c r="BT324"/>
  <c r="BT325"/>
  <c r="BT328"/>
  <c r="BT329"/>
  <c r="BT330"/>
  <c r="BT331"/>
  <c r="BT332"/>
  <c r="BT333"/>
  <c r="BT335"/>
  <c r="BT336"/>
  <c r="BT337"/>
  <c r="BT338"/>
  <c r="BT339"/>
  <c r="BT340"/>
  <c r="AG31" i="4"/>
  <c r="BR231" i="2"/>
  <c r="BR232"/>
  <c r="BR233"/>
  <c r="BR319"/>
  <c r="BR320"/>
  <c r="BR321"/>
  <c r="BR324"/>
  <c r="BR325"/>
  <c r="BR328"/>
  <c r="BR329"/>
  <c r="BR330"/>
  <c r="BR331"/>
  <c r="BR332"/>
  <c r="BR333"/>
  <c r="BR335"/>
  <c r="BR336"/>
  <c r="BR337"/>
  <c r="BR338"/>
  <c r="BR339"/>
  <c r="BR340"/>
  <c r="AG30" i="4"/>
  <c r="BP231" i="2"/>
  <c r="BP232"/>
  <c r="BP233"/>
  <c r="BP319"/>
  <c r="BP320"/>
  <c r="BP321"/>
  <c r="BP324"/>
  <c r="BP325"/>
  <c r="BP328"/>
  <c r="BP329"/>
  <c r="BP330"/>
  <c r="BP331"/>
  <c r="BP332"/>
  <c r="BP333"/>
  <c r="BP335"/>
  <c r="BP336"/>
  <c r="BP337"/>
  <c r="BP338"/>
  <c r="BP339"/>
  <c r="BP340"/>
  <c r="BN231"/>
  <c r="BN232"/>
  <c r="BN233"/>
  <c r="BN319"/>
  <c r="BN320"/>
  <c r="BN321"/>
  <c r="BN324"/>
  <c r="BN325"/>
  <c r="BN328"/>
  <c r="BN329"/>
  <c r="BN330"/>
  <c r="BN331"/>
  <c r="BN332"/>
  <c r="BN333"/>
  <c r="BN335"/>
  <c r="BN336"/>
  <c r="BN337"/>
  <c r="BN338"/>
  <c r="BN339"/>
  <c r="BN340"/>
  <c r="AG28" i="4"/>
  <c r="BL231" i="2"/>
  <c r="BL232"/>
  <c r="BL233"/>
  <c r="BL319"/>
  <c r="BL320"/>
  <c r="BL321"/>
  <c r="BL324"/>
  <c r="BL325"/>
  <c r="BL328"/>
  <c r="BL329"/>
  <c r="BL330"/>
  <c r="BL331"/>
  <c r="BL332"/>
  <c r="BL333"/>
  <c r="BL335"/>
  <c r="BL336"/>
  <c r="BL337"/>
  <c r="BL338"/>
  <c r="BL339"/>
  <c r="BL340"/>
  <c r="AG27" i="4"/>
  <c r="BH231" i="2"/>
  <c r="BH232"/>
  <c r="BH233"/>
  <c r="BH319"/>
  <c r="BH320"/>
  <c r="BH321"/>
  <c r="BH324"/>
  <c r="BH325"/>
  <c r="BH328"/>
  <c r="BH329"/>
  <c r="BH330"/>
  <c r="BH331"/>
  <c r="BH332"/>
  <c r="BH333"/>
  <c r="BH335"/>
  <c r="BH336"/>
  <c r="BH337"/>
  <c r="BH338"/>
  <c r="BH339"/>
  <c r="BH340"/>
  <c r="AG25" i="4"/>
  <c r="BK231" i="2"/>
  <c r="BK232"/>
  <c r="BK233"/>
  <c r="BK319"/>
  <c r="BK320"/>
  <c r="BK321"/>
  <c r="BK324"/>
  <c r="BK325"/>
  <c r="BK328"/>
  <c r="BK329"/>
  <c r="BK330"/>
  <c r="BK331"/>
  <c r="BK332"/>
  <c r="BK333"/>
  <c r="BK335"/>
  <c r="BK336"/>
  <c r="BK337"/>
  <c r="BK338"/>
  <c r="BK339"/>
  <c r="BK340"/>
  <c r="BG231"/>
  <c r="BG232"/>
  <c r="BG233"/>
  <c r="BG319"/>
  <c r="BG320"/>
  <c r="BG321"/>
  <c r="BG324"/>
  <c r="BG325"/>
  <c r="BG328"/>
  <c r="BG329"/>
  <c r="BG330"/>
  <c r="BG331"/>
  <c r="BG332"/>
  <c r="BG333"/>
  <c r="BG335"/>
  <c r="BG336"/>
  <c r="BG337"/>
  <c r="BG338"/>
  <c r="BG339"/>
  <c r="BG340"/>
  <c r="BE231"/>
  <c r="BE232"/>
  <c r="BE233"/>
  <c r="BE319"/>
  <c r="BE320"/>
  <c r="BE321"/>
  <c r="BE324"/>
  <c r="BE325"/>
  <c r="BE328"/>
  <c r="BE329"/>
  <c r="BE330"/>
  <c r="BE331"/>
  <c r="BE332"/>
  <c r="BE333"/>
  <c r="BE335"/>
  <c r="BE336"/>
  <c r="BE337"/>
  <c r="BE338"/>
  <c r="BE339"/>
  <c r="BE340"/>
  <c r="BC231"/>
  <c r="BC232"/>
  <c r="BC233"/>
  <c r="BC319"/>
  <c r="BC320"/>
  <c r="BC321"/>
  <c r="BC324"/>
  <c r="BC325"/>
  <c r="BC328"/>
  <c r="BC329"/>
  <c r="BC330"/>
  <c r="BC331"/>
  <c r="BC332"/>
  <c r="BC333"/>
  <c r="BC335"/>
  <c r="BC336"/>
  <c r="BC337"/>
  <c r="BC338"/>
  <c r="BC339"/>
  <c r="BC340"/>
  <c r="BA231"/>
  <c r="BA232"/>
  <c r="BA233"/>
  <c r="BA319"/>
  <c r="BA320"/>
  <c r="BA321"/>
  <c r="BA324"/>
  <c r="BA325"/>
  <c r="BA328"/>
  <c r="BA329"/>
  <c r="BA330"/>
  <c r="BA331"/>
  <c r="BA332"/>
  <c r="BA333"/>
  <c r="BA335"/>
  <c r="BA336"/>
  <c r="BA337"/>
  <c r="BA338"/>
  <c r="BA339"/>
  <c r="BA340"/>
  <c r="AY231"/>
  <c r="AY232"/>
  <c r="AY233"/>
  <c r="AY319"/>
  <c r="AY320"/>
  <c r="AY321"/>
  <c r="AY324"/>
  <c r="AY325"/>
  <c r="AY328"/>
  <c r="AY329"/>
  <c r="AY330"/>
  <c r="AY331"/>
  <c r="AY332"/>
  <c r="AY333"/>
  <c r="AY335"/>
  <c r="AY336"/>
  <c r="AY337"/>
  <c r="AY338"/>
  <c r="AY339"/>
  <c r="AY340"/>
  <c r="AW231"/>
  <c r="AW232"/>
  <c r="AW233"/>
  <c r="AW319"/>
  <c r="AW320"/>
  <c r="AW321"/>
  <c r="AW324"/>
  <c r="AW325"/>
  <c r="AW328"/>
  <c r="AW329"/>
  <c r="AW330"/>
  <c r="AW331"/>
  <c r="AW332"/>
  <c r="AW333"/>
  <c r="AW335"/>
  <c r="AW336"/>
  <c r="AW337"/>
  <c r="AW338"/>
  <c r="AW339"/>
  <c r="AW340"/>
  <c r="AU231"/>
  <c r="AU232"/>
  <c r="AU233"/>
  <c r="AU319"/>
  <c r="AU320"/>
  <c r="AU321"/>
  <c r="AU324"/>
  <c r="AU325"/>
  <c r="AU328"/>
  <c r="AU329"/>
  <c r="AU330"/>
  <c r="AU331"/>
  <c r="AU332"/>
  <c r="AU333"/>
  <c r="AU335"/>
  <c r="AU336"/>
  <c r="AU337"/>
  <c r="AU338"/>
  <c r="AU339"/>
  <c r="AU340"/>
  <c r="AS231"/>
  <c r="AS232"/>
  <c r="AS233"/>
  <c r="AS319"/>
  <c r="AS320"/>
  <c r="AS321"/>
  <c r="AS324"/>
  <c r="AS325"/>
  <c r="AS328"/>
  <c r="AS329"/>
  <c r="AS330"/>
  <c r="AS331"/>
  <c r="AS332"/>
  <c r="AS333"/>
  <c r="AS335"/>
  <c r="AS336"/>
  <c r="AS337"/>
  <c r="AS338"/>
  <c r="AS339"/>
  <c r="AS340"/>
  <c r="BJ231"/>
  <c r="BJ232"/>
  <c r="BJ233"/>
  <c r="BJ319"/>
  <c r="BJ320"/>
  <c r="BJ321"/>
  <c r="BJ324"/>
  <c r="BJ325"/>
  <c r="BJ328"/>
  <c r="BJ329"/>
  <c r="BJ330"/>
  <c r="BJ331"/>
  <c r="BJ332"/>
  <c r="BJ333"/>
  <c r="BJ335"/>
  <c r="BJ336"/>
  <c r="BJ337"/>
  <c r="BJ338"/>
  <c r="BJ339"/>
  <c r="BJ340"/>
  <c r="AG26" i="4"/>
  <c r="BF231" i="2"/>
  <c r="BF232"/>
  <c r="BF233"/>
  <c r="BF319"/>
  <c r="BF320"/>
  <c r="BF321"/>
  <c r="BF324"/>
  <c r="BF325"/>
  <c r="BF328"/>
  <c r="BF329"/>
  <c r="BF330"/>
  <c r="BF331"/>
  <c r="BF332"/>
  <c r="BF333"/>
  <c r="BF335"/>
  <c r="BF336"/>
  <c r="BF337"/>
  <c r="BF338"/>
  <c r="BF339"/>
  <c r="BF340"/>
  <c r="AG24" i="4"/>
  <c r="BD231" i="2"/>
  <c r="BD232"/>
  <c r="BD233"/>
  <c r="BD319"/>
  <c r="BD320"/>
  <c r="BD321"/>
  <c r="BD324"/>
  <c r="BD325"/>
  <c r="BD328"/>
  <c r="BD329"/>
  <c r="BD330"/>
  <c r="BD331"/>
  <c r="BD332"/>
  <c r="BD333"/>
  <c r="BD335"/>
  <c r="BD336"/>
  <c r="BD337"/>
  <c r="BD338"/>
  <c r="BD339"/>
  <c r="BD340"/>
  <c r="AG23" i="4"/>
  <c r="BB328" i="2"/>
  <c r="BB329"/>
  <c r="BB330"/>
  <c r="BB331"/>
  <c r="BB332"/>
  <c r="BB333"/>
  <c r="BB335"/>
  <c r="BB336"/>
  <c r="BB337"/>
  <c r="BB338"/>
  <c r="BB339"/>
  <c r="BB340"/>
  <c r="AZ231"/>
  <c r="AZ232"/>
  <c r="AZ233"/>
  <c r="AZ319"/>
  <c r="AZ320"/>
  <c r="AZ321"/>
  <c r="AZ324"/>
  <c r="AZ325"/>
  <c r="AZ328"/>
  <c r="AZ329"/>
  <c r="AZ330"/>
  <c r="AZ331"/>
  <c r="AZ332"/>
  <c r="AZ333"/>
  <c r="AZ335"/>
  <c r="AZ336"/>
  <c r="AZ337"/>
  <c r="AZ338"/>
  <c r="AZ339"/>
  <c r="AZ340"/>
  <c r="AG21" i="4"/>
  <c r="AX231" i="2"/>
  <c r="AX232"/>
  <c r="AX233"/>
  <c r="AX319"/>
  <c r="AX320"/>
  <c r="AX321"/>
  <c r="AX324"/>
  <c r="AX325"/>
  <c r="AX328"/>
  <c r="AX329"/>
  <c r="AX330"/>
  <c r="AX331"/>
  <c r="AX332"/>
  <c r="AX333"/>
  <c r="AX335"/>
  <c r="AX336"/>
  <c r="AX337"/>
  <c r="AX338"/>
  <c r="AX339"/>
  <c r="AX340"/>
  <c r="AV328"/>
  <c r="AV329"/>
  <c r="AV330"/>
  <c r="AV331"/>
  <c r="AV332"/>
  <c r="AV333"/>
  <c r="AV335"/>
  <c r="AV336"/>
  <c r="AV337"/>
  <c r="AV338"/>
  <c r="AV339"/>
  <c r="AV340"/>
  <c r="AT231"/>
  <c r="AT232"/>
  <c r="AT233"/>
  <c r="AT319"/>
  <c r="AT320"/>
  <c r="AT321"/>
  <c r="AT324"/>
  <c r="AT325"/>
  <c r="AT328"/>
  <c r="AT329"/>
  <c r="AT330"/>
  <c r="AT331"/>
  <c r="AT332"/>
  <c r="AT333"/>
  <c r="AT335"/>
  <c r="AT336"/>
  <c r="AT337"/>
  <c r="AT338"/>
  <c r="AT339"/>
  <c r="AT340"/>
  <c r="AR231"/>
  <c r="AR232"/>
  <c r="AR233"/>
  <c r="AR319"/>
  <c r="AR320"/>
  <c r="AR321"/>
  <c r="AR324"/>
  <c r="AR325"/>
  <c r="AR328"/>
  <c r="AR329"/>
  <c r="AR330"/>
  <c r="AR331"/>
  <c r="AR332"/>
  <c r="AR333"/>
  <c r="AR335"/>
  <c r="AR336"/>
  <c r="AR337"/>
  <c r="AR338"/>
  <c r="AR339"/>
  <c r="AR340"/>
  <c r="AG17" i="4"/>
  <c r="AP228" i="2"/>
  <c r="AP229"/>
  <c r="AP230"/>
  <c r="AP231"/>
  <c r="AP232"/>
  <c r="AP233"/>
  <c r="AP319"/>
  <c r="AP320"/>
  <c r="AP321"/>
  <c r="AP322"/>
  <c r="AP323"/>
  <c r="AP324"/>
  <c r="AP325"/>
  <c r="AP326"/>
  <c r="AP328"/>
  <c r="AP329"/>
  <c r="AP330"/>
  <c r="AP331"/>
  <c r="AP332"/>
  <c r="AP333"/>
  <c r="AP335"/>
  <c r="AP336"/>
  <c r="AP337"/>
  <c r="AP338"/>
  <c r="AP339"/>
  <c r="AP340"/>
  <c r="AP341"/>
  <c r="CB328"/>
  <c r="CB329"/>
  <c r="CB330"/>
  <c r="CB331"/>
  <c r="CB332"/>
  <c r="CB333"/>
  <c r="CB335"/>
  <c r="CB336"/>
  <c r="CB337"/>
  <c r="CB338"/>
  <c r="CB339"/>
  <c r="CB340"/>
  <c r="BC27" i="4"/>
  <c r="BC26"/>
  <c r="BC25"/>
  <c r="BC24"/>
  <c r="BC23"/>
  <c r="BC22"/>
  <c r="BC21"/>
  <c r="BC20"/>
  <c r="BC19"/>
  <c r="BC18"/>
  <c r="BC17"/>
  <c r="BC16"/>
  <c r="BC15"/>
  <c r="AT39"/>
  <c r="AT44"/>
  <c r="AT43"/>
  <c r="AT41"/>
  <c r="AT42"/>
  <c r="AT45"/>
  <c r="Z48"/>
  <c r="DB157" i="2"/>
  <c r="CZ157"/>
  <c r="DB154"/>
  <c r="DB151"/>
  <c r="DB152"/>
  <c r="DB153"/>
  <c r="AM2"/>
  <c r="DB156"/>
  <c r="DB150"/>
  <c r="DB149"/>
  <c r="DB148"/>
  <c r="DA2"/>
  <c r="AM4"/>
  <c r="DA4"/>
  <c r="DA7"/>
  <c r="DA8"/>
  <c r="DA9"/>
  <c r="DA10"/>
  <c r="DA14"/>
  <c r="DA15"/>
  <c r="AL2"/>
  <c r="AL3"/>
  <c r="AL4"/>
  <c r="AL5"/>
  <c r="AL6"/>
  <c r="AL7"/>
  <c r="AL8"/>
  <c r="AL9"/>
  <c r="AL10"/>
  <c r="AL11"/>
  <c r="AL12"/>
  <c r="AL13"/>
  <c r="AL14"/>
  <c r="AL15"/>
  <c r="AL23"/>
  <c r="AL24"/>
  <c r="AL25"/>
  <c r="AL26"/>
  <c r="AL27"/>
  <c r="AL28"/>
  <c r="AL29"/>
  <c r="AL30"/>
  <c r="AL31"/>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4"/>
  <c r="AL75"/>
  <c r="AL76"/>
  <c r="AL77"/>
  <c r="AL78"/>
  <c r="AL79"/>
  <c r="AL80"/>
  <c r="AL81"/>
  <c r="AL82"/>
  <c r="AL83"/>
  <c r="AL84"/>
  <c r="AL85"/>
  <c r="AL86"/>
  <c r="AL87"/>
  <c r="AL88"/>
  <c r="AL89"/>
  <c r="AL90"/>
  <c r="AL91"/>
  <c r="AL92"/>
  <c r="AL93"/>
  <c r="AL94"/>
  <c r="AL95"/>
  <c r="AL96"/>
  <c r="AL97"/>
  <c r="AL98"/>
  <c r="AL99"/>
  <c r="AL101"/>
  <c r="AL102"/>
  <c r="AL103"/>
  <c r="AL104"/>
  <c r="AL105"/>
  <c r="AL106"/>
  <c r="AL107"/>
  <c r="AL108"/>
  <c r="AL109"/>
  <c r="AL110"/>
  <c r="AL111"/>
  <c r="AL112"/>
  <c r="AL113"/>
  <c r="AL114"/>
  <c r="AL115"/>
  <c r="AL116"/>
  <c r="AL117"/>
  <c r="AL118"/>
  <c r="AL119"/>
  <c r="AL120"/>
  <c r="AL121"/>
  <c r="AL122"/>
  <c r="AL123"/>
  <c r="AL124"/>
  <c r="AL125"/>
  <c r="AL126"/>
  <c r="AL127"/>
  <c r="AL128"/>
  <c r="AL129"/>
  <c r="AL130"/>
  <c r="AL131"/>
  <c r="AL132"/>
  <c r="AL133"/>
  <c r="AL134"/>
  <c r="AL135"/>
  <c r="AL136"/>
  <c r="AL137"/>
  <c r="AL138"/>
  <c r="AL139"/>
  <c r="AL140"/>
  <c r="AL141"/>
  <c r="AL142"/>
  <c r="AL143"/>
  <c r="AL144"/>
  <c r="AL145"/>
  <c r="AL146"/>
  <c r="AL147"/>
  <c r="AL148"/>
  <c r="AL149"/>
  <c r="AL150"/>
  <c r="AL151"/>
  <c r="AL152"/>
  <c r="AL153"/>
  <c r="AL154"/>
  <c r="AL155"/>
  <c r="AL156"/>
  <c r="AL162"/>
  <c r="AL163"/>
  <c r="AL164"/>
  <c r="AL165"/>
  <c r="AL166"/>
  <c r="AL167"/>
  <c r="AL168"/>
  <c r="AL169"/>
  <c r="AL170"/>
  <c r="AL171"/>
  <c r="AL172"/>
  <c r="AL173"/>
  <c r="AL174"/>
  <c r="AL175"/>
  <c r="AL176"/>
  <c r="AL177"/>
  <c r="AL178"/>
  <c r="AL179"/>
  <c r="AL180"/>
  <c r="AL181"/>
  <c r="AL182"/>
  <c r="AL183"/>
  <c r="AL184"/>
  <c r="AL185"/>
  <c r="AL186"/>
  <c r="AL187"/>
  <c r="AL188"/>
  <c r="AL189"/>
  <c r="AL190"/>
  <c r="AL191"/>
  <c r="AL192"/>
  <c r="AL193"/>
  <c r="AL194"/>
  <c r="AL195"/>
  <c r="AL196"/>
  <c r="AL197"/>
  <c r="AL198"/>
  <c r="AL199"/>
  <c r="AL200"/>
  <c r="AL201"/>
  <c r="AL202"/>
  <c r="AL203"/>
  <c r="AL204"/>
  <c r="AL205"/>
  <c r="AL206"/>
  <c r="AL207"/>
  <c r="AL208"/>
  <c r="AL209"/>
  <c r="AL210"/>
  <c r="AL211"/>
  <c r="AL212"/>
  <c r="AL213"/>
  <c r="AL214"/>
  <c r="AL215"/>
  <c r="AL216"/>
  <c r="AL217"/>
  <c r="AL218"/>
  <c r="AL219"/>
  <c r="AL220"/>
  <c r="AL221"/>
  <c r="AL222"/>
  <c r="AL223"/>
  <c r="AL224"/>
  <c r="AL225"/>
  <c r="AL226"/>
  <c r="AM35"/>
  <c r="DA35"/>
  <c r="AM37"/>
  <c r="DA37"/>
  <c r="AM38"/>
  <c r="DA38"/>
  <c r="AM39"/>
  <c r="DA39"/>
  <c r="AM40"/>
  <c r="DA40"/>
  <c r="AM41"/>
  <c r="DA41"/>
  <c r="AM42"/>
  <c r="DA42"/>
  <c r="AM43"/>
  <c r="DA43"/>
  <c r="AM44"/>
  <c r="DA44"/>
  <c r="AM53"/>
  <c r="DA53"/>
  <c r="AM54"/>
  <c r="DA54"/>
  <c r="AM55"/>
  <c r="DA55"/>
  <c r="AM56"/>
  <c r="DA56"/>
  <c r="DA57"/>
  <c r="AM59"/>
  <c r="DA59"/>
  <c r="AM61"/>
  <c r="DA61"/>
  <c r="AM62"/>
  <c r="DA62"/>
  <c r="DA63"/>
  <c r="DA65"/>
  <c r="DA66"/>
  <c r="DA67"/>
  <c r="DA68"/>
  <c r="AM71"/>
  <c r="DA71"/>
  <c r="AM72"/>
  <c r="DA72"/>
  <c r="AM73"/>
  <c r="DA73"/>
  <c r="AM74"/>
  <c r="DA74"/>
  <c r="AM75"/>
  <c r="DA75"/>
  <c r="AM76"/>
  <c r="DA76"/>
  <c r="AM77"/>
  <c r="DA77"/>
  <c r="DA79"/>
  <c r="AM88"/>
  <c r="DA88"/>
  <c r="AM89"/>
  <c r="DA89"/>
  <c r="AM90"/>
  <c r="DA90"/>
  <c r="DA96"/>
  <c r="DA98"/>
  <c r="AM101"/>
  <c r="DA101"/>
  <c r="AM102"/>
  <c r="DA102"/>
  <c r="AM103"/>
  <c r="DA103"/>
  <c r="DA104"/>
  <c r="DA115"/>
  <c r="DA120"/>
  <c r="DA122"/>
  <c r="DA123"/>
  <c r="DA124"/>
  <c r="DA125"/>
  <c r="DA126"/>
  <c r="DA127"/>
  <c r="DA128"/>
  <c r="DA129"/>
  <c r="DA130"/>
  <c r="DA131"/>
  <c r="DA132"/>
  <c r="DA133"/>
  <c r="DA134"/>
  <c r="DA135"/>
  <c r="DA136"/>
  <c r="DA137"/>
  <c r="DA138"/>
  <c r="DA139"/>
  <c r="DA140"/>
  <c r="AM141"/>
  <c r="DA141"/>
  <c r="DA142"/>
  <c r="DA146"/>
  <c r="DA147"/>
  <c r="DA149"/>
  <c r="DA153"/>
  <c r="DA154"/>
  <c r="AM155"/>
  <c r="DA155"/>
  <c r="DA156"/>
  <c r="DA157"/>
  <c r="DA158"/>
  <c r="DA159"/>
  <c r="DA160"/>
  <c r="DA161"/>
  <c r="DA162"/>
  <c r="DA163"/>
  <c r="DA164"/>
  <c r="DA165"/>
  <c r="DA166"/>
  <c r="DA167"/>
  <c r="DA168"/>
  <c r="DA169"/>
  <c r="DA170"/>
  <c r="DA171"/>
  <c r="DA172"/>
  <c r="DA173"/>
  <c r="DA174"/>
  <c r="DA175"/>
  <c r="DA176"/>
  <c r="DA177"/>
  <c r="DA178"/>
  <c r="DA179"/>
  <c r="DA180"/>
  <c r="DA181"/>
  <c r="DA182"/>
  <c r="DA183"/>
  <c r="DA184"/>
  <c r="DA185"/>
  <c r="DA186"/>
  <c r="DA187"/>
  <c r="DA188"/>
  <c r="DA189"/>
  <c r="DA190"/>
  <c r="DA191"/>
  <c r="DA192"/>
  <c r="DA193"/>
  <c r="DA194"/>
  <c r="DA195"/>
  <c r="DA196"/>
  <c r="DA197"/>
  <c r="DA198"/>
  <c r="DA199"/>
  <c r="DA200"/>
  <c r="DA201"/>
  <c r="DA202"/>
  <c r="DA203"/>
  <c r="DA204"/>
  <c r="DA205"/>
  <c r="DA206"/>
  <c r="DA207"/>
  <c r="DA208"/>
  <c r="DA209"/>
  <c r="DA210"/>
  <c r="DA211"/>
  <c r="DA212"/>
  <c r="DA213"/>
  <c r="DA214"/>
  <c r="DA215"/>
  <c r="DA216"/>
  <c r="DA217"/>
  <c r="DA218"/>
  <c r="DA219"/>
  <c r="DA220"/>
  <c r="DA221"/>
  <c r="DA222"/>
  <c r="DA223"/>
  <c r="DA224"/>
  <c r="DA225"/>
  <c r="DA226"/>
  <c r="CZ151"/>
  <c r="CZ148"/>
  <c r="CZ156"/>
  <c r="CZ155"/>
  <c r="CZ153"/>
  <c r="CZ152"/>
  <c r="CZ150"/>
  <c r="CZ149"/>
  <c r="CY14"/>
  <c r="CY37"/>
  <c r="CY53"/>
  <c r="CY59"/>
  <c r="CY61"/>
  <c r="CY65"/>
  <c r="CY71"/>
  <c r="CY98"/>
  <c r="CY115"/>
  <c r="CY122"/>
  <c r="CY126"/>
  <c r="CY149"/>
  <c r="CY153"/>
  <c r="CY155"/>
  <c r="CY2"/>
  <c r="CY4"/>
  <c r="CY7"/>
  <c r="CY8"/>
  <c r="CY9"/>
  <c r="CY10"/>
  <c r="CY15"/>
  <c r="CY35"/>
  <c r="CY38"/>
  <c r="CY39"/>
  <c r="CY40"/>
  <c r="CY41"/>
  <c r="CY42"/>
  <c r="CY43"/>
  <c r="CY44"/>
  <c r="CY54"/>
  <c r="CY55"/>
  <c r="CY56"/>
  <c r="CY57"/>
  <c r="CY62"/>
  <c r="CY63"/>
  <c r="CY66"/>
  <c r="CY67"/>
  <c r="CY68"/>
  <c r="CY72"/>
  <c r="CY73"/>
  <c r="CY74"/>
  <c r="CY75"/>
  <c r="CY76"/>
  <c r="CY77"/>
  <c r="CY79"/>
  <c r="CY88"/>
  <c r="CY89"/>
  <c r="CY90"/>
  <c r="CY96"/>
  <c r="CY101"/>
  <c r="CY102"/>
  <c r="CY103"/>
  <c r="CY104"/>
  <c r="CY120"/>
  <c r="CY123"/>
  <c r="CY124"/>
  <c r="CY125"/>
  <c r="CY127"/>
  <c r="CY128"/>
  <c r="CY129"/>
  <c r="CY130"/>
  <c r="CY131"/>
  <c r="CY132"/>
  <c r="CY133"/>
  <c r="CY134"/>
  <c r="CY135"/>
  <c r="CY136"/>
  <c r="CY137"/>
  <c r="CY138"/>
  <c r="CY139"/>
  <c r="CY140"/>
  <c r="CY141"/>
  <c r="CY142"/>
  <c r="CY146"/>
  <c r="CY147"/>
  <c r="CY154"/>
  <c r="CY156"/>
  <c r="CY157"/>
  <c r="CY158"/>
  <c r="CY159"/>
  <c r="CY160"/>
  <c r="CY161"/>
  <c r="CY162"/>
  <c r="CY163"/>
  <c r="CY164"/>
  <c r="CY165"/>
  <c r="CY166"/>
  <c r="CY167"/>
  <c r="CY168"/>
  <c r="CY169"/>
  <c r="CY170"/>
  <c r="CY171"/>
  <c r="CY172"/>
  <c r="CY173"/>
  <c r="CY174"/>
  <c r="CY175"/>
  <c r="CY176"/>
  <c r="CY177"/>
  <c r="CY178"/>
  <c r="CY179"/>
  <c r="CY180"/>
  <c r="CY181"/>
  <c r="CY182"/>
  <c r="CY183"/>
  <c r="CY184"/>
  <c r="CY185"/>
  <c r="CY186"/>
  <c r="CY187"/>
  <c r="CY188"/>
  <c r="CY189"/>
  <c r="CY190"/>
  <c r="CY191"/>
  <c r="CY192"/>
  <c r="CY193"/>
  <c r="CY194"/>
  <c r="CY195"/>
  <c r="CY196"/>
  <c r="CY197"/>
  <c r="CY198"/>
  <c r="CY199"/>
  <c r="CY200"/>
  <c r="CY201"/>
  <c r="CY202"/>
  <c r="CY203"/>
  <c r="CY204"/>
  <c r="CY205"/>
  <c r="CY206"/>
  <c r="CY207"/>
  <c r="CY208"/>
  <c r="CY209"/>
  <c r="CY210"/>
  <c r="CY211"/>
  <c r="CY212"/>
  <c r="CY213"/>
  <c r="CY214"/>
  <c r="CY215"/>
  <c r="CY216"/>
  <c r="CY217"/>
  <c r="CY218"/>
  <c r="CY219"/>
  <c r="CY220"/>
  <c r="CY221"/>
  <c r="CY222"/>
  <c r="CY223"/>
  <c r="CY224"/>
  <c r="CY225"/>
  <c r="CY226"/>
  <c r="CX157"/>
  <c r="CX154"/>
  <c r="CX151"/>
  <c r="CX148"/>
  <c r="CX156"/>
  <c r="CX155"/>
  <c r="CX152"/>
  <c r="CX150"/>
  <c r="CX149"/>
  <c r="CW14"/>
  <c r="CW37"/>
  <c r="CW53"/>
  <c r="CW59"/>
  <c r="CW61"/>
  <c r="CW65"/>
  <c r="CW71"/>
  <c r="CW98"/>
  <c r="CW115"/>
  <c r="CW122"/>
  <c r="CW126"/>
  <c r="CW149"/>
  <c r="CW153"/>
  <c r="CW155"/>
  <c r="CW2"/>
  <c r="CW4"/>
  <c r="CW7"/>
  <c r="CW8"/>
  <c r="CW9"/>
  <c r="CW10"/>
  <c r="CW15"/>
  <c r="CW35"/>
  <c r="CW38"/>
  <c r="CW39"/>
  <c r="CW40"/>
  <c r="CW41"/>
  <c r="CW42"/>
  <c r="CW43"/>
  <c r="CW44"/>
  <c r="CW54"/>
  <c r="CW55"/>
  <c r="CW56"/>
  <c r="CW57"/>
  <c r="CW62"/>
  <c r="CW63"/>
  <c r="CW66"/>
  <c r="CW67"/>
  <c r="CW68"/>
  <c r="CW72"/>
  <c r="CW73"/>
  <c r="CW74"/>
  <c r="CW75"/>
  <c r="CW76"/>
  <c r="CW77"/>
  <c r="CW79"/>
  <c r="CW88"/>
  <c r="CW89"/>
  <c r="CW90"/>
  <c r="CW96"/>
  <c r="CW101"/>
  <c r="CW102"/>
  <c r="CW103"/>
  <c r="CW104"/>
  <c r="CW120"/>
  <c r="CW123"/>
  <c r="CW124"/>
  <c r="CW125"/>
  <c r="CW127"/>
  <c r="CW128"/>
  <c r="CW129"/>
  <c r="CW130"/>
  <c r="CW131"/>
  <c r="CW132"/>
  <c r="CW133"/>
  <c r="CW134"/>
  <c r="CW135"/>
  <c r="CW136"/>
  <c r="CW137"/>
  <c r="CW138"/>
  <c r="CW139"/>
  <c r="CW140"/>
  <c r="CW141"/>
  <c r="CW142"/>
  <c r="CW146"/>
  <c r="CW147"/>
  <c r="CW154"/>
  <c r="CW156"/>
  <c r="CW157"/>
  <c r="CW158"/>
  <c r="CW159"/>
  <c r="CW160"/>
  <c r="CW161"/>
  <c r="CW162"/>
  <c r="CW163"/>
  <c r="CW164"/>
  <c r="CW165"/>
  <c r="CW166"/>
  <c r="CW167"/>
  <c r="CW168"/>
  <c r="CW169"/>
  <c r="CW170"/>
  <c r="CW171"/>
  <c r="CW172"/>
  <c r="CW173"/>
  <c r="CW174"/>
  <c r="CW175"/>
  <c r="CW176"/>
  <c r="CW177"/>
  <c r="CW178"/>
  <c r="CW179"/>
  <c r="CW180"/>
  <c r="CW181"/>
  <c r="CW182"/>
  <c r="CW183"/>
  <c r="CW184"/>
  <c r="CW185"/>
  <c r="CW186"/>
  <c r="CW187"/>
  <c r="CW188"/>
  <c r="CW189"/>
  <c r="CW190"/>
  <c r="CW191"/>
  <c r="CW192"/>
  <c r="CW193"/>
  <c r="CW194"/>
  <c r="CW195"/>
  <c r="CW196"/>
  <c r="CW197"/>
  <c r="CW198"/>
  <c r="CW199"/>
  <c r="CW200"/>
  <c r="CW201"/>
  <c r="CW202"/>
  <c r="CW203"/>
  <c r="CW204"/>
  <c r="CW205"/>
  <c r="CW206"/>
  <c r="CW207"/>
  <c r="CW208"/>
  <c r="CW209"/>
  <c r="CW210"/>
  <c r="CW211"/>
  <c r="CW212"/>
  <c r="CW213"/>
  <c r="CW214"/>
  <c r="CW215"/>
  <c r="CW216"/>
  <c r="CW217"/>
  <c r="CW218"/>
  <c r="CW219"/>
  <c r="CW220"/>
  <c r="CW221"/>
  <c r="CW222"/>
  <c r="CW223"/>
  <c r="CW224"/>
  <c r="CW225"/>
  <c r="CW226"/>
  <c r="CV157"/>
  <c r="CV154"/>
  <c r="CV151"/>
  <c r="CV148"/>
  <c r="CV156"/>
  <c r="CV155"/>
  <c r="CV153"/>
  <c r="CV150"/>
  <c r="CV149"/>
  <c r="CU14"/>
  <c r="CU37"/>
  <c r="CU53"/>
  <c r="CU59"/>
  <c r="CU61"/>
  <c r="CU65"/>
  <c r="CU71"/>
  <c r="CU98"/>
  <c r="CU115"/>
  <c r="CU122"/>
  <c r="CU126"/>
  <c r="CU149"/>
  <c r="CU153"/>
  <c r="CU155"/>
  <c r="CU2"/>
  <c r="CU4"/>
  <c r="CU7"/>
  <c r="CU8"/>
  <c r="CU9"/>
  <c r="CU10"/>
  <c r="CU15"/>
  <c r="CU35"/>
  <c r="CU38"/>
  <c r="CU39"/>
  <c r="CU40"/>
  <c r="CU41"/>
  <c r="CU42"/>
  <c r="CU43"/>
  <c r="CU44"/>
  <c r="CU54"/>
  <c r="CU55"/>
  <c r="CU56"/>
  <c r="CU57"/>
  <c r="CU62"/>
  <c r="CU63"/>
  <c r="CU66"/>
  <c r="CU67"/>
  <c r="CU68"/>
  <c r="CU72"/>
  <c r="CU73"/>
  <c r="CU74"/>
  <c r="CU75"/>
  <c r="CU76"/>
  <c r="CU77"/>
  <c r="CU79"/>
  <c r="CU88"/>
  <c r="CU89"/>
  <c r="CU90"/>
  <c r="CU96"/>
  <c r="CU101"/>
  <c r="CU102"/>
  <c r="CU103"/>
  <c r="CU104"/>
  <c r="CU120"/>
  <c r="CU123"/>
  <c r="CU124"/>
  <c r="CU125"/>
  <c r="CU127"/>
  <c r="CU128"/>
  <c r="CU129"/>
  <c r="CU130"/>
  <c r="CU131"/>
  <c r="CU132"/>
  <c r="CU133"/>
  <c r="CU134"/>
  <c r="CU135"/>
  <c r="CU136"/>
  <c r="CU137"/>
  <c r="CU138"/>
  <c r="CU139"/>
  <c r="CU140"/>
  <c r="CU141"/>
  <c r="CU142"/>
  <c r="CU146"/>
  <c r="CU147"/>
  <c r="CU154"/>
  <c r="CU156"/>
  <c r="CU157"/>
  <c r="CU158"/>
  <c r="CU159"/>
  <c r="CU160"/>
  <c r="CU161"/>
  <c r="CU162"/>
  <c r="CU163"/>
  <c r="CU164"/>
  <c r="CU165"/>
  <c r="CU166"/>
  <c r="CU167"/>
  <c r="CU168"/>
  <c r="CU169"/>
  <c r="CU170"/>
  <c r="CU171"/>
  <c r="CU172"/>
  <c r="CU173"/>
  <c r="CU174"/>
  <c r="CU175"/>
  <c r="CU176"/>
  <c r="CU177"/>
  <c r="CU178"/>
  <c r="CU179"/>
  <c r="CU180"/>
  <c r="CU181"/>
  <c r="CU182"/>
  <c r="CU183"/>
  <c r="CU184"/>
  <c r="CU185"/>
  <c r="CU186"/>
  <c r="CU187"/>
  <c r="CU188"/>
  <c r="CU189"/>
  <c r="CU190"/>
  <c r="CU191"/>
  <c r="CU192"/>
  <c r="CU193"/>
  <c r="CU194"/>
  <c r="CU195"/>
  <c r="CU196"/>
  <c r="CU197"/>
  <c r="CU198"/>
  <c r="CU199"/>
  <c r="CU200"/>
  <c r="CU201"/>
  <c r="CU202"/>
  <c r="CU203"/>
  <c r="CU204"/>
  <c r="CU205"/>
  <c r="CU206"/>
  <c r="CU207"/>
  <c r="CU208"/>
  <c r="CU209"/>
  <c r="CU210"/>
  <c r="CU211"/>
  <c r="CU212"/>
  <c r="CU213"/>
  <c r="CU214"/>
  <c r="CU215"/>
  <c r="CU216"/>
  <c r="CU217"/>
  <c r="CU218"/>
  <c r="CU219"/>
  <c r="CU220"/>
  <c r="CU221"/>
  <c r="CU222"/>
  <c r="CU223"/>
  <c r="CU224"/>
  <c r="CU225"/>
  <c r="CU226"/>
  <c r="CT157"/>
  <c r="CT154"/>
  <c r="CT148"/>
  <c r="CT156"/>
  <c r="CT155"/>
  <c r="CT153"/>
  <c r="CT152"/>
  <c r="CT150"/>
  <c r="CT149"/>
  <c r="CS14"/>
  <c r="CS37"/>
  <c r="CS53"/>
  <c r="CS59"/>
  <c r="CS61"/>
  <c r="CS65"/>
  <c r="CS71"/>
  <c r="CS98"/>
  <c r="CS115"/>
  <c r="CS122"/>
  <c r="CS126"/>
  <c r="CS149"/>
  <c r="CS153"/>
  <c r="CS155"/>
  <c r="CS2"/>
  <c r="CS4"/>
  <c r="CS7"/>
  <c r="CS8"/>
  <c r="CS9"/>
  <c r="CS10"/>
  <c r="CS15"/>
  <c r="CS35"/>
  <c r="CS38"/>
  <c r="CS39"/>
  <c r="CS40"/>
  <c r="CS41"/>
  <c r="CS42"/>
  <c r="CS43"/>
  <c r="CS44"/>
  <c r="CS54"/>
  <c r="CS55"/>
  <c r="CS56"/>
  <c r="CS57"/>
  <c r="CS62"/>
  <c r="CS63"/>
  <c r="CS66"/>
  <c r="CS67"/>
  <c r="CS68"/>
  <c r="CS72"/>
  <c r="CS73"/>
  <c r="CS74"/>
  <c r="CS75"/>
  <c r="CS76"/>
  <c r="CS77"/>
  <c r="CS79"/>
  <c r="CS88"/>
  <c r="CS89"/>
  <c r="CS90"/>
  <c r="CS96"/>
  <c r="CS101"/>
  <c r="CS102"/>
  <c r="CS103"/>
  <c r="CS104"/>
  <c r="CS120"/>
  <c r="CS123"/>
  <c r="CS124"/>
  <c r="CS125"/>
  <c r="CS127"/>
  <c r="CS128"/>
  <c r="CS129"/>
  <c r="CS130"/>
  <c r="CS131"/>
  <c r="CS132"/>
  <c r="CS133"/>
  <c r="CS134"/>
  <c r="CS135"/>
  <c r="CS136"/>
  <c r="CS137"/>
  <c r="CS138"/>
  <c r="CS139"/>
  <c r="CS140"/>
  <c r="CS141"/>
  <c r="CS142"/>
  <c r="CS146"/>
  <c r="CS147"/>
  <c r="CS154"/>
  <c r="CS156"/>
  <c r="CS157"/>
  <c r="CS158"/>
  <c r="CS159"/>
  <c r="CS160"/>
  <c r="CS161"/>
  <c r="CS162"/>
  <c r="CS163"/>
  <c r="CS164"/>
  <c r="CS165"/>
  <c r="CS166"/>
  <c r="CS167"/>
  <c r="CS168"/>
  <c r="CS169"/>
  <c r="CS170"/>
  <c r="CS171"/>
  <c r="CS172"/>
  <c r="CS173"/>
  <c r="CS174"/>
  <c r="CS175"/>
  <c r="CS176"/>
  <c r="CS177"/>
  <c r="CS178"/>
  <c r="CS179"/>
  <c r="CS180"/>
  <c r="CS181"/>
  <c r="CS182"/>
  <c r="CS183"/>
  <c r="CS184"/>
  <c r="CS185"/>
  <c r="CS186"/>
  <c r="CS187"/>
  <c r="CS188"/>
  <c r="CS189"/>
  <c r="CS190"/>
  <c r="CS191"/>
  <c r="CS192"/>
  <c r="CS193"/>
  <c r="CS194"/>
  <c r="CS195"/>
  <c r="CS196"/>
  <c r="CS197"/>
  <c r="CS198"/>
  <c r="CS199"/>
  <c r="CS200"/>
  <c r="CS201"/>
  <c r="CS202"/>
  <c r="CS203"/>
  <c r="CS204"/>
  <c r="CS205"/>
  <c r="CS206"/>
  <c r="CS207"/>
  <c r="CS208"/>
  <c r="CS209"/>
  <c r="CS210"/>
  <c r="CS211"/>
  <c r="CS212"/>
  <c r="CS213"/>
  <c r="CS214"/>
  <c r="CS215"/>
  <c r="CS216"/>
  <c r="CS217"/>
  <c r="CS218"/>
  <c r="CS219"/>
  <c r="CS220"/>
  <c r="CS221"/>
  <c r="CS222"/>
  <c r="CS223"/>
  <c r="CS224"/>
  <c r="CS225"/>
  <c r="CS226"/>
  <c r="DL333"/>
  <c r="DJ333"/>
  <c r="DH333"/>
  <c r="AM248"/>
  <c r="DH331"/>
  <c r="DH330"/>
  <c r="DH328"/>
  <c r="DH327"/>
  <c r="DH326"/>
  <c r="DH325"/>
  <c r="DH324"/>
  <c r="DH323"/>
  <c r="DH322"/>
  <c r="DH321"/>
  <c r="DH320"/>
  <c r="DH319"/>
  <c r="DG248"/>
  <c r="DG236"/>
  <c r="AM246"/>
  <c r="DG290"/>
  <c r="DG291"/>
  <c r="DG292"/>
  <c r="DG293"/>
  <c r="DG294"/>
  <c r="DG295"/>
  <c r="DG296"/>
  <c r="DG297"/>
  <c r="DG298"/>
  <c r="DG299"/>
  <c r="DG300"/>
  <c r="DG301"/>
  <c r="DG302"/>
  <c r="DG303"/>
  <c r="DG304"/>
  <c r="DG305"/>
  <c r="DG306"/>
  <c r="DG307"/>
  <c r="DG308"/>
  <c r="DG309"/>
  <c r="DG310"/>
  <c r="DG311"/>
  <c r="DG312"/>
  <c r="DG313"/>
  <c r="DG314"/>
  <c r="DG315"/>
  <c r="DG316"/>
  <c r="DG317"/>
  <c r="DG318"/>
  <c r="DF333"/>
  <c r="DF329"/>
  <c r="DF331"/>
  <c r="DF330"/>
  <c r="DF327"/>
  <c r="DF326"/>
  <c r="DF325"/>
  <c r="DF324"/>
  <c r="DF323"/>
  <c r="DF322"/>
  <c r="DF321"/>
  <c r="DF320"/>
  <c r="DF319"/>
  <c r="DE236"/>
  <c r="DE248"/>
  <c r="DE290"/>
  <c r="DE291"/>
  <c r="DE292"/>
  <c r="DE293"/>
  <c r="DE294"/>
  <c r="DE295"/>
  <c r="DE296"/>
  <c r="DE297"/>
  <c r="DE298"/>
  <c r="DE299"/>
  <c r="DE300"/>
  <c r="DE301"/>
  <c r="DE302"/>
  <c r="DE303"/>
  <c r="DE304"/>
  <c r="DE305"/>
  <c r="DE306"/>
  <c r="DE307"/>
  <c r="DE308"/>
  <c r="DE309"/>
  <c r="DE310"/>
  <c r="DE311"/>
  <c r="DE312"/>
  <c r="DE313"/>
  <c r="DE314"/>
  <c r="DE315"/>
  <c r="DE316"/>
  <c r="DE317"/>
  <c r="DE318"/>
  <c r="DD333"/>
  <c r="DD329"/>
  <c r="DD331"/>
  <c r="DD330"/>
  <c r="DD328"/>
  <c r="DD326"/>
  <c r="DD325"/>
  <c r="DD324"/>
  <c r="DD323"/>
  <c r="DD322"/>
  <c r="DD321"/>
  <c r="DD320"/>
  <c r="DD319"/>
  <c r="DC236"/>
  <c r="DC248"/>
  <c r="DC290"/>
  <c r="DC291"/>
  <c r="DC292"/>
  <c r="DC293"/>
  <c r="DC294"/>
  <c r="DC295"/>
  <c r="DC296"/>
  <c r="DC297"/>
  <c r="DC298"/>
  <c r="DC299"/>
  <c r="DC300"/>
  <c r="DC301"/>
  <c r="DC302"/>
  <c r="DC303"/>
  <c r="DC304"/>
  <c r="DC305"/>
  <c r="DC306"/>
  <c r="DC307"/>
  <c r="DC308"/>
  <c r="DC309"/>
  <c r="DC310"/>
  <c r="DC311"/>
  <c r="DC312"/>
  <c r="DC313"/>
  <c r="DC314"/>
  <c r="DC315"/>
  <c r="DC316"/>
  <c r="DC317"/>
  <c r="DC318"/>
  <c r="DB333"/>
  <c r="DB329"/>
  <c r="DB331"/>
  <c r="DB330"/>
  <c r="DB328"/>
  <c r="DB327"/>
  <c r="DB325"/>
  <c r="DB324"/>
  <c r="DB323"/>
  <c r="DB322"/>
  <c r="DB321"/>
  <c r="DB320"/>
  <c r="DB319"/>
  <c r="DA236"/>
  <c r="DA248"/>
  <c r="DA290"/>
  <c r="DA291"/>
  <c r="DA292"/>
  <c r="DA293"/>
  <c r="DA294"/>
  <c r="DA295"/>
  <c r="DA296"/>
  <c r="DA297"/>
  <c r="DA298"/>
  <c r="DA299"/>
  <c r="DA300"/>
  <c r="DA301"/>
  <c r="DA302"/>
  <c r="DA303"/>
  <c r="DA304"/>
  <c r="DA305"/>
  <c r="DA306"/>
  <c r="DA307"/>
  <c r="DA308"/>
  <c r="DA309"/>
  <c r="DA310"/>
  <c r="DA311"/>
  <c r="DA312"/>
  <c r="DA313"/>
  <c r="DA314"/>
  <c r="DA315"/>
  <c r="DA316"/>
  <c r="DA317"/>
  <c r="DA318"/>
  <c r="DL330"/>
  <c r="DL329"/>
  <c r="DL328"/>
  <c r="DL327"/>
  <c r="DL326"/>
  <c r="DJ331"/>
  <c r="DJ329"/>
  <c r="DJ328"/>
  <c r="DJ327"/>
  <c r="DJ326"/>
  <c r="DE3"/>
  <c r="AN237"/>
  <c r="DG237"/>
  <c r="AN238"/>
  <c r="DG238"/>
  <c r="AN239"/>
  <c r="DG239"/>
  <c r="AN240"/>
  <c r="DG240"/>
  <c r="AN241"/>
  <c r="DG241"/>
  <c r="AN242"/>
  <c r="DG242"/>
  <c r="AN243"/>
  <c r="DG243"/>
  <c r="AN244"/>
  <c r="DG244"/>
  <c r="AN245"/>
  <c r="DG245"/>
  <c r="AN246"/>
  <c r="DG246"/>
  <c r="AN247"/>
  <c r="DG247"/>
  <c r="AN248"/>
  <c r="AN249"/>
  <c r="DG249"/>
  <c r="AN250"/>
  <c r="DG250"/>
  <c r="AN251"/>
  <c r="DG251"/>
  <c r="AN252"/>
  <c r="DG252"/>
  <c r="AN253"/>
  <c r="DG253"/>
  <c r="AN254"/>
  <c r="DG254"/>
  <c r="AN255"/>
  <c r="DG255"/>
  <c r="AN256"/>
  <c r="DG256"/>
  <c r="AN257"/>
  <c r="DG257"/>
  <c r="AN258"/>
  <c r="DG258"/>
  <c r="AN259"/>
  <c r="DG259"/>
  <c r="AN260"/>
  <c r="DG260"/>
  <c r="AN261"/>
  <c r="DG261"/>
  <c r="AN262"/>
  <c r="DG262"/>
  <c r="AN263"/>
  <c r="DG263"/>
  <c r="AN264"/>
  <c r="DG264"/>
  <c r="AN265"/>
  <c r="DG265"/>
  <c r="AN266"/>
  <c r="DG266"/>
  <c r="AN267"/>
  <c r="DG267"/>
  <c r="AN268"/>
  <c r="DG268"/>
  <c r="AN269"/>
  <c r="DG269"/>
  <c r="AN270"/>
  <c r="DG270"/>
  <c r="AN271"/>
  <c r="DG271"/>
  <c r="AN272"/>
  <c r="DG272"/>
  <c r="AN273"/>
  <c r="DG273"/>
  <c r="AN274"/>
  <c r="DG274"/>
  <c r="AN275"/>
  <c r="DG275"/>
  <c r="AN276"/>
  <c r="DG276"/>
  <c r="AN277"/>
  <c r="DG277"/>
  <c r="AN278"/>
  <c r="DG278"/>
  <c r="AN279"/>
  <c r="DG279"/>
  <c r="AN280"/>
  <c r="DG280"/>
  <c r="AN281"/>
  <c r="DG281"/>
  <c r="AN282"/>
  <c r="DG282"/>
  <c r="AN283"/>
  <c r="DG283"/>
  <c r="AN284"/>
  <c r="DG284"/>
  <c r="AN285"/>
  <c r="DG285"/>
  <c r="AN286"/>
  <c r="DG286"/>
  <c r="AN287"/>
  <c r="DG287"/>
  <c r="AN288"/>
  <c r="DG288"/>
  <c r="AN289"/>
  <c r="DG289"/>
  <c r="DL325"/>
  <c r="DL324"/>
  <c r="DL323"/>
  <c r="DL322"/>
  <c r="DL321"/>
  <c r="DL320"/>
  <c r="DL319"/>
  <c r="DK236"/>
  <c r="DK237"/>
  <c r="DK238"/>
  <c r="DK239"/>
  <c r="DK240"/>
  <c r="DK241"/>
  <c r="DK242"/>
  <c r="DK243"/>
  <c r="DK244"/>
  <c r="DK245"/>
  <c r="DK246"/>
  <c r="DK247"/>
  <c r="DK248"/>
  <c r="DK249"/>
  <c r="DK250"/>
  <c r="DK251"/>
  <c r="DK252"/>
  <c r="DK253"/>
  <c r="DK254"/>
  <c r="DK255"/>
  <c r="DK256"/>
  <c r="DK257"/>
  <c r="DK258"/>
  <c r="DK259"/>
  <c r="DK260"/>
  <c r="DK261"/>
  <c r="DK262"/>
  <c r="DK263"/>
  <c r="DK264"/>
  <c r="DK265"/>
  <c r="DK266"/>
  <c r="DK267"/>
  <c r="DK268"/>
  <c r="DK269"/>
  <c r="DK270"/>
  <c r="DK271"/>
  <c r="DK272"/>
  <c r="DK273"/>
  <c r="DK274"/>
  <c r="DK275"/>
  <c r="DK276"/>
  <c r="DK277"/>
  <c r="DK278"/>
  <c r="DK279"/>
  <c r="DK280"/>
  <c r="DK281"/>
  <c r="DK282"/>
  <c r="DK283"/>
  <c r="DK284"/>
  <c r="DK285"/>
  <c r="DK286"/>
  <c r="DK287"/>
  <c r="DK288"/>
  <c r="DK289"/>
  <c r="DK290"/>
  <c r="DK291"/>
  <c r="DK292"/>
  <c r="DK293"/>
  <c r="DK294"/>
  <c r="DK295"/>
  <c r="DK296"/>
  <c r="DK297"/>
  <c r="DK298"/>
  <c r="DK299"/>
  <c r="DK300"/>
  <c r="DK301"/>
  <c r="DK302"/>
  <c r="DK303"/>
  <c r="DK304"/>
  <c r="DK305"/>
  <c r="DK306"/>
  <c r="DK307"/>
  <c r="DK308"/>
  <c r="DK309"/>
  <c r="DK310"/>
  <c r="DK311"/>
  <c r="DK312"/>
  <c r="DK313"/>
  <c r="DK314"/>
  <c r="DK315"/>
  <c r="DK316"/>
  <c r="DK317"/>
  <c r="DK318"/>
  <c r="DL235"/>
  <c r="DJ325"/>
  <c r="DJ324"/>
  <c r="DJ323"/>
  <c r="DJ322"/>
  <c r="DJ321"/>
  <c r="DJ320"/>
  <c r="DJ319"/>
  <c r="DI236"/>
  <c r="DI237"/>
  <c r="DI238"/>
  <c r="DI239"/>
  <c r="DI240"/>
  <c r="DI241"/>
  <c r="DI242"/>
  <c r="DI243"/>
  <c r="DI244"/>
  <c r="DI245"/>
  <c r="DI246"/>
  <c r="DI247"/>
  <c r="DI248"/>
  <c r="DI249"/>
  <c r="DI250"/>
  <c r="DI251"/>
  <c r="DI252"/>
  <c r="DI253"/>
  <c r="DI254"/>
  <c r="DI255"/>
  <c r="DI256"/>
  <c r="DI257"/>
  <c r="DI258"/>
  <c r="DI259"/>
  <c r="DI260"/>
  <c r="DI261"/>
  <c r="DI262"/>
  <c r="DI263"/>
  <c r="DI264"/>
  <c r="DI265"/>
  <c r="DI266"/>
  <c r="DI267"/>
  <c r="DI268"/>
  <c r="DI269"/>
  <c r="DI270"/>
  <c r="DI271"/>
  <c r="DI272"/>
  <c r="DI273"/>
  <c r="DI274"/>
  <c r="DI275"/>
  <c r="DI276"/>
  <c r="DI277"/>
  <c r="DI278"/>
  <c r="DI279"/>
  <c r="DI280"/>
  <c r="DI281"/>
  <c r="DI282"/>
  <c r="DI283"/>
  <c r="DI284"/>
  <c r="DI285"/>
  <c r="DI286"/>
  <c r="DI287"/>
  <c r="DI288"/>
  <c r="DI289"/>
  <c r="DI290"/>
  <c r="DI291"/>
  <c r="DI292"/>
  <c r="DI293"/>
  <c r="DI294"/>
  <c r="DI295"/>
  <c r="DI296"/>
  <c r="DI297"/>
  <c r="DI298"/>
  <c r="DI299"/>
  <c r="DI300"/>
  <c r="DI301"/>
  <c r="DI302"/>
  <c r="DI303"/>
  <c r="DI304"/>
  <c r="DI305"/>
  <c r="DI306"/>
  <c r="DI307"/>
  <c r="DI308"/>
  <c r="DI309"/>
  <c r="DI310"/>
  <c r="DI311"/>
  <c r="DI312"/>
  <c r="DI313"/>
  <c r="DI314"/>
  <c r="DI315"/>
  <c r="DI316"/>
  <c r="DI317"/>
  <c r="DI318"/>
  <c r="DJ235"/>
  <c r="AL49" i="1"/>
  <c r="AN290" i="2"/>
  <c r="AN291"/>
  <c r="AN292"/>
  <c r="AN293"/>
  <c r="AN294"/>
  <c r="AN295"/>
  <c r="AN296"/>
  <c r="AN297"/>
  <c r="AN298"/>
  <c r="AN299"/>
  <c r="AN300"/>
  <c r="AN301"/>
  <c r="AN302"/>
  <c r="AN303"/>
  <c r="AN304"/>
  <c r="AN305"/>
  <c r="AN306"/>
  <c r="AN307"/>
  <c r="AN308"/>
  <c r="AN309"/>
  <c r="AN310"/>
  <c r="AN311"/>
  <c r="AN312"/>
  <c r="AN313"/>
  <c r="AN314"/>
  <c r="AN315"/>
  <c r="AN316"/>
  <c r="AN317"/>
  <c r="AN318"/>
  <c r="DL318"/>
  <c r="DL317"/>
  <c r="DL316"/>
  <c r="DL315"/>
  <c r="DL314"/>
  <c r="DL313"/>
  <c r="DL312"/>
  <c r="DL311"/>
  <c r="DL310"/>
  <c r="DL309"/>
  <c r="DL308"/>
  <c r="DL307"/>
  <c r="DL306"/>
  <c r="DL305"/>
  <c r="DL304"/>
  <c r="DL303"/>
  <c r="DL302"/>
  <c r="DL301"/>
  <c r="DL300"/>
  <c r="DL299"/>
  <c r="DL298"/>
  <c r="DL297"/>
  <c r="DL296"/>
  <c r="DL295"/>
  <c r="DL294"/>
  <c r="DL293"/>
  <c r="DL292"/>
  <c r="DL291"/>
  <c r="DL290"/>
  <c r="DL289"/>
  <c r="DL288"/>
  <c r="DL287"/>
  <c r="DL286"/>
  <c r="DL285"/>
  <c r="DL284"/>
  <c r="DL283"/>
  <c r="DL282"/>
  <c r="DL281"/>
  <c r="DL280"/>
  <c r="DL279"/>
  <c r="DL278"/>
  <c r="DL277"/>
  <c r="DL276"/>
  <c r="DL275"/>
  <c r="DL274"/>
  <c r="DL273"/>
  <c r="DL272"/>
  <c r="DL271"/>
  <c r="DL270"/>
  <c r="DL269"/>
  <c r="DL268"/>
  <c r="DL267"/>
  <c r="DL266"/>
  <c r="DL265"/>
  <c r="DL264"/>
  <c r="DL263"/>
  <c r="DL262"/>
  <c r="DL261"/>
  <c r="DL260"/>
  <c r="DL259"/>
  <c r="DL258"/>
  <c r="DL257"/>
  <c r="DL256"/>
  <c r="DL255"/>
  <c r="DL254"/>
  <c r="DL253"/>
  <c r="DL252"/>
  <c r="DL251"/>
  <c r="DL250"/>
  <c r="DL249"/>
  <c r="DL248"/>
  <c r="DL247"/>
  <c r="DL246"/>
  <c r="DL245"/>
  <c r="DL244"/>
  <c r="DL243"/>
  <c r="DL242"/>
  <c r="DL241"/>
  <c r="DL240"/>
  <c r="DL239"/>
  <c r="DL238"/>
  <c r="DL237"/>
  <c r="DL236"/>
  <c r="DJ318"/>
  <c r="DJ317"/>
  <c r="DJ316"/>
  <c r="DJ315"/>
  <c r="DJ314"/>
  <c r="DJ313"/>
  <c r="DJ312"/>
  <c r="DJ311"/>
  <c r="DJ310"/>
  <c r="DJ309"/>
  <c r="DJ308"/>
  <c r="DJ307"/>
  <c r="DJ306"/>
  <c r="DJ305"/>
  <c r="DJ304"/>
  <c r="DJ303"/>
  <c r="DJ302"/>
  <c r="DJ301"/>
  <c r="DJ300"/>
  <c r="DJ299"/>
  <c r="DJ298"/>
  <c r="DJ297"/>
  <c r="DJ296"/>
  <c r="DJ295"/>
  <c r="DJ294"/>
  <c r="DJ293"/>
  <c r="DJ292"/>
  <c r="DJ291"/>
  <c r="DJ290"/>
  <c r="DJ289"/>
  <c r="DJ288"/>
  <c r="DJ287"/>
  <c r="DJ286"/>
  <c r="DJ285"/>
  <c r="DJ284"/>
  <c r="DJ283"/>
  <c r="DJ282"/>
  <c r="DJ281"/>
  <c r="DJ280"/>
  <c r="DJ279"/>
  <c r="DJ278"/>
  <c r="DJ277"/>
  <c r="DJ276"/>
  <c r="DJ275"/>
  <c r="DJ274"/>
  <c r="DJ273"/>
  <c r="DJ272"/>
  <c r="DJ271"/>
  <c r="DJ270"/>
  <c r="DJ269"/>
  <c r="DJ268"/>
  <c r="DJ267"/>
  <c r="DJ266"/>
  <c r="DJ265"/>
  <c r="DJ264"/>
  <c r="DJ263"/>
  <c r="DJ262"/>
  <c r="DJ261"/>
  <c r="DJ260"/>
  <c r="DJ259"/>
  <c r="DJ258"/>
  <c r="DJ257"/>
  <c r="DJ256"/>
  <c r="DJ255"/>
  <c r="DJ254"/>
  <c r="DJ253"/>
  <c r="DJ252"/>
  <c r="DJ251"/>
  <c r="DJ250"/>
  <c r="DJ249"/>
  <c r="DJ248"/>
  <c r="DJ247"/>
  <c r="DJ246"/>
  <c r="DJ245"/>
  <c r="DJ244"/>
  <c r="DJ243"/>
  <c r="DJ242"/>
  <c r="DJ241"/>
  <c r="DJ240"/>
  <c r="DJ239"/>
  <c r="DJ238"/>
  <c r="DJ237"/>
  <c r="DJ236"/>
  <c r="CL327"/>
  <c r="CN327"/>
  <c r="CP327"/>
  <c r="CR327"/>
  <c r="CT327"/>
  <c r="CV327"/>
  <c r="CX326"/>
  <c r="CV326"/>
  <c r="CT322"/>
  <c r="CT320"/>
  <c r="CT319"/>
  <c r="CT321"/>
  <c r="CT325"/>
  <c r="CT324"/>
  <c r="CS236"/>
  <c r="CS237"/>
  <c r="CS238"/>
  <c r="CS239"/>
  <c r="CS240"/>
  <c r="CS241"/>
  <c r="CS242"/>
  <c r="CS243"/>
  <c r="CS244"/>
  <c r="CS245"/>
  <c r="CS246"/>
  <c r="CS247"/>
  <c r="CS248"/>
  <c r="CS249"/>
  <c r="CS250"/>
  <c r="CS251"/>
  <c r="CS252"/>
  <c r="CS253"/>
  <c r="CS254"/>
  <c r="CS255"/>
  <c r="CS256"/>
  <c r="CS257"/>
  <c r="CS258"/>
  <c r="CS259"/>
  <c r="CS260"/>
  <c r="CS261"/>
  <c r="CS262"/>
  <c r="CS263"/>
  <c r="CS264"/>
  <c r="CS265"/>
  <c r="CS266"/>
  <c r="CS267"/>
  <c r="CS268"/>
  <c r="CS269"/>
  <c r="CS270"/>
  <c r="CS271"/>
  <c r="CS272"/>
  <c r="CS273"/>
  <c r="CS274"/>
  <c r="CS275"/>
  <c r="CS276"/>
  <c r="CS277"/>
  <c r="CS278"/>
  <c r="CS279"/>
  <c r="CS280"/>
  <c r="CS281"/>
  <c r="CS282"/>
  <c r="CS283"/>
  <c r="CS284"/>
  <c r="CS285"/>
  <c r="CS286"/>
  <c r="CS287"/>
  <c r="CS288"/>
  <c r="CS289"/>
  <c r="CS290"/>
  <c r="CS291"/>
  <c r="CS292"/>
  <c r="CS293"/>
  <c r="CS294"/>
  <c r="CS295"/>
  <c r="CS296"/>
  <c r="CS297"/>
  <c r="CS298"/>
  <c r="CS299"/>
  <c r="CS300"/>
  <c r="CS301"/>
  <c r="CS302"/>
  <c r="CS303"/>
  <c r="CS304"/>
  <c r="CS305"/>
  <c r="CS306"/>
  <c r="CS307"/>
  <c r="CS308"/>
  <c r="CS309"/>
  <c r="CS310"/>
  <c r="CS311"/>
  <c r="CS312"/>
  <c r="CS313"/>
  <c r="CS314"/>
  <c r="CS315"/>
  <c r="CS316"/>
  <c r="CS317"/>
  <c r="CS318"/>
  <c r="CT235"/>
  <c r="CT326"/>
  <c r="CR321"/>
  <c r="CR320"/>
  <c r="CR319"/>
  <c r="CR325"/>
  <c r="CR324"/>
  <c r="CR323"/>
  <c r="CQ236"/>
  <c r="CQ237"/>
  <c r="CQ238"/>
  <c r="CQ239"/>
  <c r="CQ240"/>
  <c r="CQ241"/>
  <c r="CQ242"/>
  <c r="CQ243"/>
  <c r="CQ244"/>
  <c r="CQ245"/>
  <c r="CQ246"/>
  <c r="CQ247"/>
  <c r="CQ248"/>
  <c r="CQ249"/>
  <c r="CQ250"/>
  <c r="CQ251"/>
  <c r="CQ252"/>
  <c r="CQ253"/>
  <c r="CQ254"/>
  <c r="CQ255"/>
  <c r="CQ256"/>
  <c r="CQ257"/>
  <c r="CQ258"/>
  <c r="CQ259"/>
  <c r="CQ260"/>
  <c r="CQ261"/>
  <c r="CQ262"/>
  <c r="CQ263"/>
  <c r="CQ264"/>
  <c r="CQ265"/>
  <c r="CQ266"/>
  <c r="CQ267"/>
  <c r="CQ268"/>
  <c r="CQ269"/>
  <c r="CQ270"/>
  <c r="CQ271"/>
  <c r="CQ272"/>
  <c r="CQ273"/>
  <c r="CQ274"/>
  <c r="CQ275"/>
  <c r="CQ276"/>
  <c r="CQ277"/>
  <c r="CQ278"/>
  <c r="CQ279"/>
  <c r="CQ280"/>
  <c r="CQ281"/>
  <c r="CQ282"/>
  <c r="CQ283"/>
  <c r="CQ284"/>
  <c r="CQ285"/>
  <c r="CQ286"/>
  <c r="CQ287"/>
  <c r="CQ288"/>
  <c r="CQ289"/>
  <c r="CQ290"/>
  <c r="CQ291"/>
  <c r="CQ292"/>
  <c r="CQ293"/>
  <c r="CQ294"/>
  <c r="CQ295"/>
  <c r="CQ296"/>
  <c r="CQ297"/>
  <c r="CQ298"/>
  <c r="CQ299"/>
  <c r="CQ300"/>
  <c r="CQ301"/>
  <c r="CQ302"/>
  <c r="CQ303"/>
  <c r="CQ304"/>
  <c r="CQ305"/>
  <c r="CQ306"/>
  <c r="CQ307"/>
  <c r="CQ308"/>
  <c r="CQ309"/>
  <c r="CQ310"/>
  <c r="CQ311"/>
  <c r="CQ312"/>
  <c r="CQ313"/>
  <c r="CQ314"/>
  <c r="CQ315"/>
  <c r="CQ316"/>
  <c r="CQ317"/>
  <c r="CQ318"/>
  <c r="CR235"/>
  <c r="CR326"/>
  <c r="CP325"/>
  <c r="CP324"/>
  <c r="CP323"/>
  <c r="CP322"/>
  <c r="CP320"/>
  <c r="CP319"/>
  <c r="CO248"/>
  <c r="CO236"/>
  <c r="CO237"/>
  <c r="CO238"/>
  <c r="CO239"/>
  <c r="CO240"/>
  <c r="CO241"/>
  <c r="CO242"/>
  <c r="CO243"/>
  <c r="CO244"/>
  <c r="CO245"/>
  <c r="CO246"/>
  <c r="CO247"/>
  <c r="CO249"/>
  <c r="CO250"/>
  <c r="CO251"/>
  <c r="CO252"/>
  <c r="CO253"/>
  <c r="CO254"/>
  <c r="CO255"/>
  <c r="CO256"/>
  <c r="CO257"/>
  <c r="CO258"/>
  <c r="CO259"/>
  <c r="CO260"/>
  <c r="CO261"/>
  <c r="CO262"/>
  <c r="CO263"/>
  <c r="CO264"/>
  <c r="CO265"/>
  <c r="CO266"/>
  <c r="CO267"/>
  <c r="CO268"/>
  <c r="CO269"/>
  <c r="CO270"/>
  <c r="CO271"/>
  <c r="CO272"/>
  <c r="CO273"/>
  <c r="CO274"/>
  <c r="CO275"/>
  <c r="CO276"/>
  <c r="CO277"/>
  <c r="CO278"/>
  <c r="CO279"/>
  <c r="CO280"/>
  <c r="CO281"/>
  <c r="CO282"/>
  <c r="CO283"/>
  <c r="CO284"/>
  <c r="CO285"/>
  <c r="CO286"/>
  <c r="CO287"/>
  <c r="CO288"/>
  <c r="CO289"/>
  <c r="CO290"/>
  <c r="CO291"/>
  <c r="CO292"/>
  <c r="CO293"/>
  <c r="CO294"/>
  <c r="CO295"/>
  <c r="CO296"/>
  <c r="CO297"/>
  <c r="CO298"/>
  <c r="CO299"/>
  <c r="CO300"/>
  <c r="CO301"/>
  <c r="CO302"/>
  <c r="CO303"/>
  <c r="CO304"/>
  <c r="CO305"/>
  <c r="CO306"/>
  <c r="CO307"/>
  <c r="CO308"/>
  <c r="CO309"/>
  <c r="CO310"/>
  <c r="CO311"/>
  <c r="CO312"/>
  <c r="CO313"/>
  <c r="CO314"/>
  <c r="CO315"/>
  <c r="CO316"/>
  <c r="CO317"/>
  <c r="CO318"/>
  <c r="CP235"/>
  <c r="CP326"/>
  <c r="BE14" i="4"/>
  <c r="BE15"/>
  <c r="BE16"/>
  <c r="BE17"/>
  <c r="BE18"/>
  <c r="BE19"/>
  <c r="BE20"/>
  <c r="BE21"/>
  <c r="BE22"/>
  <c r="BE23"/>
  <c r="BE24"/>
  <c r="BE25"/>
  <c r="BE26"/>
  <c r="BE27"/>
  <c r="AQ227" i="2"/>
  <c r="AR227"/>
  <c r="AR228" s="1"/>
  <c r="AS227"/>
  <c r="AS228" s="1"/>
  <c r="AT227"/>
  <c r="AT228" s="1"/>
  <c r="AU227"/>
  <c r="AU228" s="1"/>
  <c r="AV227"/>
  <c r="AW227"/>
  <c r="AW228" s="1"/>
  <c r="AX227"/>
  <c r="AX228" s="1"/>
  <c r="AY227"/>
  <c r="AY228" s="1"/>
  <c r="AZ227"/>
  <c r="AZ228" s="1"/>
  <c r="BA227"/>
  <c r="BA228" s="1"/>
  <c r="BB227"/>
  <c r="BC227"/>
  <c r="BC228" s="1"/>
  <c r="BD227"/>
  <c r="BD228" s="1"/>
  <c r="BE227"/>
  <c r="BF227"/>
  <c r="BF228" s="1"/>
  <c r="BG227"/>
  <c r="BH227"/>
  <c r="BI227"/>
  <c r="BJ227"/>
  <c r="BJ228" s="1"/>
  <c r="BK227"/>
  <c r="BL227"/>
  <c r="BM227"/>
  <c r="BN227"/>
  <c r="BO227"/>
  <c r="BP227"/>
  <c r="BQ227"/>
  <c r="BR227"/>
  <c r="BS227"/>
  <c r="BT227"/>
  <c r="BU227"/>
  <c r="BV227"/>
  <c r="BW227"/>
  <c r="BX227"/>
  <c r="BY227"/>
  <c r="BZ227"/>
  <c r="CA227"/>
  <c r="CB227"/>
  <c r="CC227"/>
  <c r="CD227"/>
  <c r="CE227"/>
  <c r="DD151"/>
  <c r="DD155"/>
  <c r="DD154"/>
  <c r="DD153"/>
  <c r="DD152"/>
  <c r="DD150"/>
  <c r="DD149"/>
  <c r="DD148"/>
  <c r="DC226"/>
  <c r="DC225"/>
  <c r="DC224"/>
  <c r="DC223"/>
  <c r="DC222"/>
  <c r="DC221"/>
  <c r="DC220"/>
  <c r="DC219"/>
  <c r="DC218"/>
  <c r="DC217"/>
  <c r="DC216"/>
  <c r="DC215"/>
  <c r="DC214"/>
  <c r="DC213"/>
  <c r="DC212"/>
  <c r="DC211"/>
  <c r="DC210"/>
  <c r="DC209"/>
  <c r="DC208"/>
  <c r="DC207"/>
  <c r="DC206"/>
  <c r="DC205"/>
  <c r="DC204"/>
  <c r="DC203"/>
  <c r="DC202"/>
  <c r="DC201"/>
  <c r="DC200"/>
  <c r="DC199"/>
  <c r="DC198"/>
  <c r="DC197"/>
  <c r="DC196"/>
  <c r="DC195"/>
  <c r="DC194"/>
  <c r="DC193"/>
  <c r="DC192"/>
  <c r="DC191"/>
  <c r="DC190"/>
  <c r="DC189"/>
  <c r="DC188"/>
  <c r="DC187"/>
  <c r="DC186"/>
  <c r="DC185"/>
  <c r="DC184"/>
  <c r="DC183"/>
  <c r="DC182"/>
  <c r="DC181"/>
  <c r="DC180"/>
  <c r="DC179"/>
  <c r="DC178"/>
  <c r="DC177"/>
  <c r="DC176"/>
  <c r="DC175"/>
  <c r="DC174"/>
  <c r="DC173"/>
  <c r="DC172"/>
  <c r="DC171"/>
  <c r="DC170"/>
  <c r="DC169"/>
  <c r="DC168"/>
  <c r="DC167"/>
  <c r="DC166"/>
  <c r="DC165"/>
  <c r="DC164"/>
  <c r="DC163"/>
  <c r="DC162"/>
  <c r="DC161"/>
  <c r="DC160"/>
  <c r="DC159"/>
  <c r="DC158"/>
  <c r="DC157"/>
  <c r="DC156"/>
  <c r="DC155"/>
  <c r="DC154"/>
  <c r="DC153"/>
  <c r="DC149"/>
  <c r="DC147"/>
  <c r="DC146"/>
  <c r="DC142"/>
  <c r="DC141"/>
  <c r="DC140"/>
  <c r="DC139"/>
  <c r="DC138"/>
  <c r="DC137"/>
  <c r="DC136"/>
  <c r="DC135"/>
  <c r="DC134"/>
  <c r="DC133"/>
  <c r="DC132"/>
  <c r="DC131"/>
  <c r="DC130"/>
  <c r="DC129"/>
  <c r="DC128"/>
  <c r="DC127"/>
  <c r="DC126"/>
  <c r="DC125"/>
  <c r="DC124"/>
  <c r="DC123"/>
  <c r="DC122"/>
  <c r="DC120"/>
  <c r="DC115"/>
  <c r="DC104"/>
  <c r="DC103"/>
  <c r="DC102"/>
  <c r="DC101"/>
  <c r="DC98"/>
  <c r="DC96"/>
  <c r="DC90"/>
  <c r="DC89"/>
  <c r="DC88"/>
  <c r="DC79"/>
  <c r="DC77"/>
  <c r="DC76"/>
  <c r="DC75"/>
  <c r="DC74"/>
  <c r="DC73"/>
  <c r="DC72"/>
  <c r="DC71"/>
  <c r="DC68"/>
  <c r="DC67"/>
  <c r="DC66"/>
  <c r="DC65"/>
  <c r="DC63"/>
  <c r="DC62"/>
  <c r="DC61"/>
  <c r="DC59"/>
  <c r="DC57"/>
  <c r="DC56"/>
  <c r="DC55"/>
  <c r="DC54"/>
  <c r="DC53"/>
  <c r="DC44"/>
  <c r="DC43"/>
  <c r="DC42"/>
  <c r="DC41"/>
  <c r="DC40"/>
  <c r="DC39"/>
  <c r="DC38"/>
  <c r="DC37"/>
  <c r="DC35"/>
  <c r="DC15"/>
  <c r="DC14"/>
  <c r="DC10"/>
  <c r="DC9"/>
  <c r="DC8"/>
  <c r="DC7"/>
  <c r="DC4"/>
  <c r="DC2"/>
  <c r="CF227"/>
  <c r="CG227"/>
  <c r="CH227"/>
  <c r="CI227"/>
  <c r="CX327"/>
  <c r="AL48" i="1"/>
  <c r="AL46"/>
  <c r="AL43"/>
  <c r="CX324" i="2"/>
  <c r="CX322"/>
  <c r="CX319"/>
  <c r="CX323"/>
  <c r="CX321"/>
  <c r="CX320"/>
  <c r="CW236"/>
  <c r="CW237"/>
  <c r="CW238"/>
  <c r="CW239"/>
  <c r="CW240"/>
  <c r="CW241"/>
  <c r="CW242"/>
  <c r="CW243"/>
  <c r="CW244"/>
  <c r="CW245"/>
  <c r="CW246"/>
  <c r="CW247"/>
  <c r="CW248"/>
  <c r="CW249"/>
  <c r="CW250"/>
  <c r="CW251"/>
  <c r="CW252"/>
  <c r="CW253"/>
  <c r="CW254"/>
  <c r="CW255"/>
  <c r="CW256"/>
  <c r="CW257"/>
  <c r="CW258"/>
  <c r="CW259"/>
  <c r="CW260"/>
  <c r="CW261"/>
  <c r="CW262"/>
  <c r="CW263"/>
  <c r="CW264"/>
  <c r="CW265"/>
  <c r="CW266"/>
  <c r="CW267"/>
  <c r="CW268"/>
  <c r="CW269"/>
  <c r="CW270"/>
  <c r="CW271"/>
  <c r="CW272"/>
  <c r="CW273"/>
  <c r="CW274"/>
  <c r="CW275"/>
  <c r="CW276"/>
  <c r="CW277"/>
  <c r="CW278"/>
  <c r="CW279"/>
  <c r="CW280"/>
  <c r="CW281"/>
  <c r="CW282"/>
  <c r="CW283"/>
  <c r="CW284"/>
  <c r="CW285"/>
  <c r="CW286"/>
  <c r="CW287"/>
  <c r="CW288"/>
  <c r="CW289"/>
  <c r="CW290"/>
  <c r="CW291"/>
  <c r="CW292"/>
  <c r="CW293"/>
  <c r="CW294"/>
  <c r="CW295"/>
  <c r="CW296"/>
  <c r="CW297"/>
  <c r="CW298"/>
  <c r="CW299"/>
  <c r="CW300"/>
  <c r="CW301"/>
  <c r="CW302"/>
  <c r="CW303"/>
  <c r="CW304"/>
  <c r="CW305"/>
  <c r="CW306"/>
  <c r="CW307"/>
  <c r="CW308"/>
  <c r="CW309"/>
  <c r="CW310"/>
  <c r="CW311"/>
  <c r="CW312"/>
  <c r="CW313"/>
  <c r="CW314"/>
  <c r="CW315"/>
  <c r="CW316"/>
  <c r="CW317"/>
  <c r="CW318"/>
  <c r="CX235"/>
  <c r="CV323"/>
  <c r="CV325"/>
  <c r="CV322"/>
  <c r="CV319"/>
  <c r="CV321"/>
  <c r="CV320"/>
  <c r="CU236"/>
  <c r="CU237"/>
  <c r="CU238"/>
  <c r="CU239"/>
  <c r="CU240"/>
  <c r="CU241"/>
  <c r="CU242"/>
  <c r="CU243"/>
  <c r="CU244"/>
  <c r="CU245"/>
  <c r="CU246"/>
  <c r="CU247"/>
  <c r="CU248"/>
  <c r="CU249"/>
  <c r="CU250"/>
  <c r="CU251"/>
  <c r="CU252"/>
  <c r="CU253"/>
  <c r="CU254"/>
  <c r="CU255"/>
  <c r="CU256"/>
  <c r="CU257"/>
  <c r="CU258"/>
  <c r="CU259"/>
  <c r="CU260"/>
  <c r="CU261"/>
  <c r="CU262"/>
  <c r="CU263"/>
  <c r="CU264"/>
  <c r="CU265"/>
  <c r="CU266"/>
  <c r="CU267"/>
  <c r="CU268"/>
  <c r="CU269"/>
  <c r="CU270"/>
  <c r="CU271"/>
  <c r="CU272"/>
  <c r="CU273"/>
  <c r="CU274"/>
  <c r="CU275"/>
  <c r="CU276"/>
  <c r="CU277"/>
  <c r="CU278"/>
  <c r="CU279"/>
  <c r="CU280"/>
  <c r="CU281"/>
  <c r="CU282"/>
  <c r="CU283"/>
  <c r="CU284"/>
  <c r="CU285"/>
  <c r="CU286"/>
  <c r="CU287"/>
  <c r="CU288"/>
  <c r="CU289"/>
  <c r="CU290"/>
  <c r="CU291"/>
  <c r="CU292"/>
  <c r="CU293"/>
  <c r="CU294"/>
  <c r="CU295"/>
  <c r="CU296"/>
  <c r="CU297"/>
  <c r="CU298"/>
  <c r="CU299"/>
  <c r="CU300"/>
  <c r="CU301"/>
  <c r="CU302"/>
  <c r="CU303"/>
  <c r="CU304"/>
  <c r="CU305"/>
  <c r="CU306"/>
  <c r="CU307"/>
  <c r="CU308"/>
  <c r="CU309"/>
  <c r="CU310"/>
  <c r="CU311"/>
  <c r="CU312"/>
  <c r="CU313"/>
  <c r="CU314"/>
  <c r="CU315"/>
  <c r="CU316"/>
  <c r="CU317"/>
  <c r="CU318"/>
  <c r="CV235"/>
  <c r="P3" i="4"/>
  <c r="AX16"/>
  <c r="AW16"/>
  <c r="AW15"/>
  <c r="AW14"/>
  <c r="AW13"/>
  <c r="AW12"/>
  <c r="AW11"/>
  <c r="AW10"/>
  <c r="AW9"/>
  <c r="AW8"/>
  <c r="AW7"/>
  <c r="AY16"/>
  <c r="AX17"/>
  <c r="AY17"/>
  <c r="AX18"/>
  <c r="AY18"/>
  <c r="AX19"/>
  <c r="AY19"/>
  <c r="AX7"/>
  <c r="AY7"/>
  <c r="AX8"/>
  <c r="AY8"/>
  <c r="AX9"/>
  <c r="AY9"/>
  <c r="AX10"/>
  <c r="AY10"/>
  <c r="AX11"/>
  <c r="AY11"/>
  <c r="AX12"/>
  <c r="AY12"/>
  <c r="AX13"/>
  <c r="AY13"/>
  <c r="AX14"/>
  <c r="AY14"/>
  <c r="AX15"/>
  <c r="AY15"/>
  <c r="AY6"/>
  <c r="AZ15"/>
  <c r="BA15"/>
  <c r="AC35"/>
  <c r="AZ14"/>
  <c r="BA14"/>
  <c r="AC34"/>
  <c r="AZ13"/>
  <c r="BA13"/>
  <c r="AC33"/>
  <c r="AZ12"/>
  <c r="BA12"/>
  <c r="T35"/>
  <c r="AZ11"/>
  <c r="AW19"/>
  <c r="AW18"/>
  <c r="AW17"/>
  <c r="BA11"/>
  <c r="T34"/>
  <c r="AZ10"/>
  <c r="BA10"/>
  <c r="T33"/>
  <c r="AZ9"/>
  <c r="BA9"/>
  <c r="L35"/>
  <c r="AZ8"/>
  <c r="BA8"/>
  <c r="L34"/>
  <c r="AZ7"/>
  <c r="BA7"/>
  <c r="L33"/>
  <c r="AD35"/>
  <c r="AD34"/>
  <c r="AD33"/>
  <c r="U35"/>
  <c r="U34"/>
  <c r="U33"/>
  <c r="N35"/>
  <c r="N34"/>
  <c r="N33"/>
  <c r="AT35"/>
  <c r="AT34"/>
  <c r="AT33"/>
  <c r="AT32"/>
  <c r="AT31"/>
  <c r="AT30"/>
  <c r="AT29"/>
  <c r="AT28"/>
  <c r="AT27"/>
  <c r="AT26"/>
  <c r="AT25"/>
  <c r="AT24"/>
  <c r="AT23"/>
  <c r="AT22"/>
  <c r="AT21"/>
  <c r="AT20"/>
  <c r="AT19"/>
  <c r="AT18"/>
  <c r="AT17"/>
  <c r="AT16"/>
  <c r="AT15"/>
  <c r="AT14"/>
  <c r="AT13"/>
  <c r="AT12"/>
  <c r="DP2" i="2"/>
  <c r="DV2"/>
  <c r="DQ2"/>
  <c r="DW2"/>
  <c r="DX2"/>
  <c r="DZ2"/>
  <c r="DP3"/>
  <c r="DV3"/>
  <c r="DQ3"/>
  <c r="DW3"/>
  <c r="DX3"/>
  <c r="DZ3"/>
  <c r="DP4"/>
  <c r="DV4"/>
  <c r="DQ4"/>
  <c r="DW4"/>
  <c r="DX4"/>
  <c r="DZ4"/>
  <c r="DP5"/>
  <c r="DV5"/>
  <c r="DQ5"/>
  <c r="DW5"/>
  <c r="DX5"/>
  <c r="DZ5"/>
  <c r="DP6"/>
  <c r="DQ6"/>
  <c r="DW6"/>
  <c r="AT11" i="4"/>
  <c r="DP7" i="2"/>
  <c r="DV7"/>
  <c r="DQ7"/>
  <c r="DW7"/>
  <c r="DX7"/>
  <c r="DZ7"/>
  <c r="DP8"/>
  <c r="DV8"/>
  <c r="DQ8"/>
  <c r="DW8"/>
  <c r="DX8"/>
  <c r="DZ8"/>
  <c r="DP9"/>
  <c r="DV9"/>
  <c r="DQ9"/>
  <c r="DW9"/>
  <c r="DX9"/>
  <c r="DZ9"/>
  <c r="DP10"/>
  <c r="DV10"/>
  <c r="DQ10"/>
  <c r="DW10"/>
  <c r="DX10"/>
  <c r="DZ10"/>
  <c r="DP11"/>
  <c r="DV11"/>
  <c r="DQ11"/>
  <c r="DW11"/>
  <c r="DX11"/>
  <c r="DZ11"/>
  <c r="DP12"/>
  <c r="DV12"/>
  <c r="DQ12"/>
  <c r="DW12"/>
  <c r="DX12"/>
  <c r="DZ12"/>
  <c r="DP13"/>
  <c r="DV13"/>
  <c r="DQ13"/>
  <c r="DW13"/>
  <c r="DX13"/>
  <c r="DZ13"/>
  <c r="DP14"/>
  <c r="DV14"/>
  <c r="DQ14"/>
  <c r="DW14"/>
  <c r="DX14"/>
  <c r="DZ14"/>
  <c r="DP15"/>
  <c r="DV15"/>
  <c r="DQ15"/>
  <c r="DW15"/>
  <c r="DX15"/>
  <c r="DZ15"/>
  <c r="DP16"/>
  <c r="DV16"/>
  <c r="DQ16"/>
  <c r="DW16"/>
  <c r="DX16"/>
  <c r="DZ16"/>
  <c r="DP17"/>
  <c r="DV17"/>
  <c r="DQ17"/>
  <c r="DW17"/>
  <c r="DX17"/>
  <c r="DZ17"/>
  <c r="DP18"/>
  <c r="DV18"/>
  <c r="DQ18"/>
  <c r="DW18"/>
  <c r="DX18"/>
  <c r="DZ18"/>
  <c r="DP19"/>
  <c r="DV19"/>
  <c r="DQ19"/>
  <c r="DW19"/>
  <c r="DX19"/>
  <c r="DZ19"/>
  <c r="DP20"/>
  <c r="DV20"/>
  <c r="DQ20"/>
  <c r="DW20"/>
  <c r="DX20"/>
  <c r="DZ20"/>
  <c r="DP21"/>
  <c r="DV21"/>
  <c r="DQ21"/>
  <c r="DW21"/>
  <c r="DX21"/>
  <c r="DZ21"/>
  <c r="DP22"/>
  <c r="DV22"/>
  <c r="DQ22"/>
  <c r="DW22"/>
  <c r="DX22"/>
  <c r="DZ22"/>
  <c r="DP23"/>
  <c r="DV23"/>
  <c r="DQ23"/>
  <c r="DW23"/>
  <c r="DX23"/>
  <c r="DZ23"/>
  <c r="DP24"/>
  <c r="DV24"/>
  <c r="DQ24"/>
  <c r="DW24"/>
  <c r="DX24"/>
  <c r="DZ24"/>
  <c r="DP25"/>
  <c r="DV25"/>
  <c r="DQ25"/>
  <c r="DW25"/>
  <c r="DX25"/>
  <c r="DZ25"/>
  <c r="DP26"/>
  <c r="DV26"/>
  <c r="DQ26"/>
  <c r="DW26"/>
  <c r="DX26"/>
  <c r="DZ26"/>
  <c r="DP27"/>
  <c r="DV27"/>
  <c r="DQ27"/>
  <c r="DW27"/>
  <c r="DX27"/>
  <c r="DZ27"/>
  <c r="DP28"/>
  <c r="DV28"/>
  <c r="DQ28"/>
  <c r="DW28"/>
  <c r="DX28"/>
  <c r="DZ28"/>
  <c r="DP29"/>
  <c r="DV29"/>
  <c r="DQ29"/>
  <c r="DW29"/>
  <c r="DX29"/>
  <c r="DZ29"/>
  <c r="DP30"/>
  <c r="DV30"/>
  <c r="DQ30"/>
  <c r="DW30"/>
  <c r="DX30"/>
  <c r="DP31"/>
  <c r="DV31"/>
  <c r="DQ31"/>
  <c r="DW31"/>
  <c r="DX31"/>
  <c r="DZ31"/>
  <c r="DP32"/>
  <c r="DV32"/>
  <c r="DQ32"/>
  <c r="DW32"/>
  <c r="DX32"/>
  <c r="DZ32"/>
  <c r="DP33"/>
  <c r="DV33"/>
  <c r="DQ33"/>
  <c r="DW33"/>
  <c r="DX33"/>
  <c r="DZ33"/>
  <c r="DP34"/>
  <c r="DV34"/>
  <c r="DQ34"/>
  <c r="DW34"/>
  <c r="DX34"/>
  <c r="DZ34"/>
  <c r="DP35"/>
  <c r="DV35"/>
  <c r="DQ35"/>
  <c r="DW35"/>
  <c r="DX35"/>
  <c r="DZ35"/>
  <c r="DP36"/>
  <c r="DV36"/>
  <c r="DQ36"/>
  <c r="DW36"/>
  <c r="DX36"/>
  <c r="DZ36"/>
  <c r="DP37"/>
  <c r="DV37"/>
  <c r="DQ37"/>
  <c r="DW37"/>
  <c r="DX37"/>
  <c r="DZ37"/>
  <c r="DP38"/>
  <c r="DV38"/>
  <c r="DQ38"/>
  <c r="DW38"/>
  <c r="DX38"/>
  <c r="DZ38"/>
  <c r="DP39"/>
  <c r="DV39"/>
  <c r="DQ39"/>
  <c r="DW39"/>
  <c r="DX39"/>
  <c r="DZ39"/>
  <c r="DP40"/>
  <c r="DV40"/>
  <c r="DQ40"/>
  <c r="DW40"/>
  <c r="DX40"/>
  <c r="DZ40"/>
  <c r="DP41"/>
  <c r="DV41"/>
  <c r="DQ41"/>
  <c r="DW41"/>
  <c r="DX41"/>
  <c r="DZ41"/>
  <c r="DP42"/>
  <c r="DV42"/>
  <c r="DQ42"/>
  <c r="DW42"/>
  <c r="DX42"/>
  <c r="DZ42"/>
  <c r="DP43"/>
  <c r="DV43"/>
  <c r="DQ43"/>
  <c r="DW43"/>
  <c r="DX43"/>
  <c r="DZ43"/>
  <c r="DP44"/>
  <c r="DV44"/>
  <c r="DQ44"/>
  <c r="DW44"/>
  <c r="DX44"/>
  <c r="DZ44"/>
  <c r="DP45"/>
  <c r="DV45"/>
  <c r="DQ45"/>
  <c r="DW45"/>
  <c r="DX45"/>
  <c r="DZ45"/>
  <c r="DP46"/>
  <c r="DV46"/>
  <c r="DQ46"/>
  <c r="DW46"/>
  <c r="DX46"/>
  <c r="DZ46"/>
  <c r="DP47"/>
  <c r="DV47"/>
  <c r="DQ47"/>
  <c r="DW47"/>
  <c r="DX47"/>
  <c r="DZ47"/>
  <c r="DP48"/>
  <c r="DV48"/>
  <c r="DQ48"/>
  <c r="DW48"/>
  <c r="DX48"/>
  <c r="DZ48"/>
  <c r="DP49"/>
  <c r="DV49"/>
  <c r="DQ49"/>
  <c r="DW49"/>
  <c r="DX49"/>
  <c r="DZ49"/>
  <c r="DP50"/>
  <c r="DV50"/>
  <c r="DQ50"/>
  <c r="DW50"/>
  <c r="DX50"/>
  <c r="DZ50"/>
  <c r="DP51"/>
  <c r="DV51"/>
  <c r="DQ51"/>
  <c r="DW51"/>
  <c r="DX51"/>
  <c r="DZ51"/>
  <c r="DP52"/>
  <c r="DV52"/>
  <c r="DQ52"/>
  <c r="DW52"/>
  <c r="DX52"/>
  <c r="DZ52"/>
  <c r="DP53"/>
  <c r="DV53"/>
  <c r="DQ53"/>
  <c r="DW53"/>
  <c r="DX53"/>
  <c r="DZ53"/>
  <c r="DP54"/>
  <c r="DV54"/>
  <c r="DQ54"/>
  <c r="DW54"/>
  <c r="DX54"/>
  <c r="DZ54"/>
  <c r="DP55"/>
  <c r="DV55"/>
  <c r="DQ55"/>
  <c r="DW55"/>
  <c r="DX55"/>
  <c r="DZ55"/>
  <c r="DP56"/>
  <c r="DV56"/>
  <c r="DQ56"/>
  <c r="DW56"/>
  <c r="DX56"/>
  <c r="DZ56"/>
  <c r="DP57"/>
  <c r="DV57"/>
  <c r="DQ57"/>
  <c r="DW57"/>
  <c r="DX57"/>
  <c r="DP58"/>
  <c r="DV58"/>
  <c r="DQ58"/>
  <c r="DW58"/>
  <c r="DX58"/>
  <c r="DZ58"/>
  <c r="DP59"/>
  <c r="DV59"/>
  <c r="DQ59"/>
  <c r="DW59"/>
  <c r="DX59"/>
  <c r="DZ59"/>
  <c r="DP60"/>
  <c r="DV60"/>
  <c r="DQ60"/>
  <c r="DW60"/>
  <c r="DX60"/>
  <c r="DZ60"/>
  <c r="DP61"/>
  <c r="DV61"/>
  <c r="DQ61"/>
  <c r="DW61"/>
  <c r="DX61"/>
  <c r="DZ61"/>
  <c r="DP62"/>
  <c r="DV62"/>
  <c r="DQ62"/>
  <c r="DW62"/>
  <c r="DX62"/>
  <c r="DZ62"/>
  <c r="DP63"/>
  <c r="DV63"/>
  <c r="DQ63"/>
  <c r="DW63"/>
  <c r="DX63"/>
  <c r="DZ63"/>
  <c r="DP64"/>
  <c r="DV64"/>
  <c r="DQ64"/>
  <c r="DW64"/>
  <c r="DX64"/>
  <c r="DZ64"/>
  <c r="DP65"/>
  <c r="DV65"/>
  <c r="DQ65"/>
  <c r="DW65"/>
  <c r="DX65"/>
  <c r="DZ65"/>
  <c r="DP66"/>
  <c r="DV66"/>
  <c r="DQ66"/>
  <c r="DW66"/>
  <c r="DX66"/>
  <c r="DZ66"/>
  <c r="DP67"/>
  <c r="DV67"/>
  <c r="DQ67"/>
  <c r="DW67"/>
  <c r="DX67"/>
  <c r="DZ67"/>
  <c r="DP68"/>
  <c r="DV68"/>
  <c r="DQ68"/>
  <c r="DW68"/>
  <c r="DX68"/>
  <c r="DZ68"/>
  <c r="DP69"/>
  <c r="DV69"/>
  <c r="DQ69"/>
  <c r="DW69"/>
  <c r="DX69"/>
  <c r="DZ69"/>
  <c r="DP70"/>
  <c r="DV70"/>
  <c r="DQ70"/>
  <c r="DW70"/>
  <c r="DX70"/>
  <c r="DZ70"/>
  <c r="DP71"/>
  <c r="DV71"/>
  <c r="DQ71"/>
  <c r="DW71"/>
  <c r="DX71"/>
  <c r="DZ71"/>
  <c r="DP72"/>
  <c r="DV72"/>
  <c r="DQ72"/>
  <c r="DW72"/>
  <c r="DX72"/>
  <c r="DZ72"/>
  <c r="DP73"/>
  <c r="DV73"/>
  <c r="DQ73"/>
  <c r="DW73"/>
  <c r="DX73"/>
  <c r="DZ73"/>
  <c r="DP74"/>
  <c r="DV74"/>
  <c r="DQ74"/>
  <c r="DW74"/>
  <c r="DX74"/>
  <c r="DZ74"/>
  <c r="DP75"/>
  <c r="DV75"/>
  <c r="DQ75"/>
  <c r="DW75"/>
  <c r="DX75"/>
  <c r="DZ75"/>
  <c r="DP76"/>
  <c r="DV76"/>
  <c r="DQ76"/>
  <c r="DW76"/>
  <c r="DX76"/>
  <c r="DZ76"/>
  <c r="DP77"/>
  <c r="DV77"/>
  <c r="DQ77"/>
  <c r="DW77"/>
  <c r="DX77"/>
  <c r="DZ77"/>
  <c r="DP78"/>
  <c r="DV78"/>
  <c r="DQ78"/>
  <c r="DW78"/>
  <c r="DX78"/>
  <c r="DZ78"/>
  <c r="DP79"/>
  <c r="DV79"/>
  <c r="DQ79"/>
  <c r="DW79"/>
  <c r="DX79"/>
  <c r="DZ79"/>
  <c r="DP80"/>
  <c r="DV80"/>
  <c r="DQ80"/>
  <c r="DW80"/>
  <c r="DX80"/>
  <c r="DZ80"/>
  <c r="DP81"/>
  <c r="DV81"/>
  <c r="DQ81"/>
  <c r="DW81"/>
  <c r="DX81"/>
  <c r="DZ81"/>
  <c r="DP82"/>
  <c r="DV82"/>
  <c r="DQ82"/>
  <c r="DW82"/>
  <c r="DX82"/>
  <c r="DZ82"/>
  <c r="DP83"/>
  <c r="DV83"/>
  <c r="DQ83"/>
  <c r="DW83"/>
  <c r="DX83"/>
  <c r="DZ83"/>
  <c r="DP84"/>
  <c r="DV84"/>
  <c r="DQ84"/>
  <c r="DW84"/>
  <c r="DX84"/>
  <c r="DZ84"/>
  <c r="DP85"/>
  <c r="DV85"/>
  <c r="DQ85"/>
  <c r="DW85"/>
  <c r="DX85"/>
  <c r="DZ85"/>
  <c r="DP86"/>
  <c r="DV86"/>
  <c r="DQ86"/>
  <c r="DW86"/>
  <c r="DX86"/>
  <c r="DZ86"/>
  <c r="DP87"/>
  <c r="DV87"/>
  <c r="DQ87"/>
  <c r="DW87"/>
  <c r="DX87"/>
  <c r="DZ87"/>
  <c r="DP88"/>
  <c r="DV88"/>
  <c r="DQ88"/>
  <c r="DW88"/>
  <c r="DX88"/>
  <c r="DZ88"/>
  <c r="DP89"/>
  <c r="DV89"/>
  <c r="DQ89"/>
  <c r="DW89"/>
  <c r="DX89"/>
  <c r="DZ89"/>
  <c r="DP90"/>
  <c r="DV90"/>
  <c r="DQ90"/>
  <c r="DW90"/>
  <c r="DX90"/>
  <c r="DZ90"/>
  <c r="DP91"/>
  <c r="DV91"/>
  <c r="DQ91"/>
  <c r="DW91"/>
  <c r="DX91"/>
  <c r="DZ91"/>
  <c r="DP92"/>
  <c r="DV92"/>
  <c r="DQ92"/>
  <c r="DW92"/>
  <c r="DX92"/>
  <c r="DZ92"/>
  <c r="DP93"/>
  <c r="DV93"/>
  <c r="DQ93"/>
  <c r="DW93"/>
  <c r="DX93"/>
  <c r="DZ93"/>
  <c r="DP94"/>
  <c r="DV94"/>
  <c r="DQ94"/>
  <c r="DW94"/>
  <c r="DX94"/>
  <c r="DZ94"/>
  <c r="DP95"/>
  <c r="DV95"/>
  <c r="DQ95"/>
  <c r="DW95"/>
  <c r="DX95"/>
  <c r="DZ95"/>
  <c r="DP96"/>
  <c r="DV96"/>
  <c r="DQ96"/>
  <c r="DW96"/>
  <c r="DX96"/>
  <c r="DZ96"/>
  <c r="DP97"/>
  <c r="DV97"/>
  <c r="DQ97"/>
  <c r="DW97"/>
  <c r="DX97"/>
  <c r="DZ97"/>
  <c r="DP98"/>
  <c r="DV98"/>
  <c r="DQ98"/>
  <c r="DW98"/>
  <c r="DX98"/>
  <c r="DZ98"/>
  <c r="DP99"/>
  <c r="DV99"/>
  <c r="DQ99"/>
  <c r="DW99"/>
  <c r="DX99"/>
  <c r="DZ99"/>
  <c r="DP100"/>
  <c r="DV100"/>
  <c r="DQ100"/>
  <c r="DW100"/>
  <c r="DX100"/>
  <c r="DZ100"/>
  <c r="DP101"/>
  <c r="DV101"/>
  <c r="DQ101"/>
  <c r="DW101"/>
  <c r="DX101"/>
  <c r="DZ101"/>
  <c r="DP102"/>
  <c r="DV102"/>
  <c r="DQ102"/>
  <c r="DW102"/>
  <c r="DX102"/>
  <c r="DZ102"/>
  <c r="DP103"/>
  <c r="DV103"/>
  <c r="DQ103"/>
  <c r="DW103"/>
  <c r="DX103"/>
  <c r="DZ103"/>
  <c r="DP104"/>
  <c r="DV104"/>
  <c r="DQ104"/>
  <c r="DW104"/>
  <c r="DX104"/>
  <c r="DZ104"/>
  <c r="DP105"/>
  <c r="DV105"/>
  <c r="DQ105"/>
  <c r="DW105"/>
  <c r="DX105"/>
  <c r="DZ105"/>
  <c r="DP106"/>
  <c r="DV106"/>
  <c r="DQ106"/>
  <c r="DW106"/>
  <c r="DX106"/>
  <c r="DZ106"/>
  <c r="DP107"/>
  <c r="DV107"/>
  <c r="DQ107"/>
  <c r="DW107"/>
  <c r="DX107"/>
  <c r="DZ107"/>
  <c r="DP108"/>
  <c r="DV108"/>
  <c r="DQ108"/>
  <c r="DW108"/>
  <c r="DX108"/>
  <c r="DZ108"/>
  <c r="DP109"/>
  <c r="DV109"/>
  <c r="DQ109"/>
  <c r="DW109"/>
  <c r="DX109"/>
  <c r="DZ109"/>
  <c r="DP110"/>
  <c r="DV110"/>
  <c r="DQ110"/>
  <c r="DW110"/>
  <c r="DX110"/>
  <c r="DZ110"/>
  <c r="DP111"/>
  <c r="DV111"/>
  <c r="DQ111"/>
  <c r="DW111"/>
  <c r="DX111"/>
  <c r="DZ111"/>
  <c r="DP112"/>
  <c r="DV112"/>
  <c r="DQ112"/>
  <c r="DW112"/>
  <c r="DX112"/>
  <c r="DZ112"/>
  <c r="DP113"/>
  <c r="DV113"/>
  <c r="DQ113"/>
  <c r="DW113"/>
  <c r="DX113"/>
  <c r="DZ113"/>
  <c r="DP114"/>
  <c r="DV114"/>
  <c r="DQ114"/>
  <c r="DW114"/>
  <c r="DX114"/>
  <c r="DZ114"/>
  <c r="DP115"/>
  <c r="DV115"/>
  <c r="DQ115"/>
  <c r="DW115"/>
  <c r="DX115"/>
  <c r="DZ115"/>
  <c r="DP116"/>
  <c r="DV116"/>
  <c r="DQ116"/>
  <c r="DW116"/>
  <c r="DX116"/>
  <c r="DZ116"/>
  <c r="DP117"/>
  <c r="DV117"/>
  <c r="DQ117"/>
  <c r="DW117"/>
  <c r="DX117"/>
  <c r="DZ117"/>
  <c r="DP118"/>
  <c r="DV118"/>
  <c r="DQ118"/>
  <c r="DW118"/>
  <c r="DX118"/>
  <c r="DZ118"/>
  <c r="DP119"/>
  <c r="DV119"/>
  <c r="DQ119"/>
  <c r="DW119"/>
  <c r="DX119"/>
  <c r="DZ119"/>
  <c r="DP120"/>
  <c r="DV120"/>
  <c r="DQ120"/>
  <c r="DW120"/>
  <c r="DX120"/>
  <c r="DZ120"/>
  <c r="DP121"/>
  <c r="DV121"/>
  <c r="DQ121"/>
  <c r="DW121"/>
  <c r="DX121"/>
  <c r="DZ121"/>
  <c r="DP122"/>
  <c r="DV122"/>
  <c r="DQ122"/>
  <c r="DW122"/>
  <c r="DX122"/>
  <c r="DZ122"/>
  <c r="DP123"/>
  <c r="DV123"/>
  <c r="DQ123"/>
  <c r="DW123"/>
  <c r="DX123"/>
  <c r="DZ123"/>
  <c r="DP124"/>
  <c r="DV124"/>
  <c r="DQ124"/>
  <c r="DW124"/>
  <c r="DX124"/>
  <c r="DZ124"/>
  <c r="DP125"/>
  <c r="DV125"/>
  <c r="DQ125"/>
  <c r="DW125"/>
  <c r="DX125"/>
  <c r="DZ125"/>
  <c r="DP126"/>
  <c r="DV126"/>
  <c r="DQ126"/>
  <c r="DW126"/>
  <c r="DX126"/>
  <c r="DZ126"/>
  <c r="DP127"/>
  <c r="DV127"/>
  <c r="DQ127"/>
  <c r="DW127"/>
  <c r="DX127"/>
  <c r="DZ127"/>
  <c r="DP128"/>
  <c r="DV128"/>
  <c r="DQ128"/>
  <c r="DW128"/>
  <c r="DX128"/>
  <c r="DZ128"/>
  <c r="DP129"/>
  <c r="DV129"/>
  <c r="DQ129"/>
  <c r="DW129"/>
  <c r="DX129"/>
  <c r="DZ129"/>
  <c r="DP130"/>
  <c r="DV130"/>
  <c r="DQ130"/>
  <c r="DW130"/>
  <c r="DX130"/>
  <c r="DZ130"/>
  <c r="DP131"/>
  <c r="DV131"/>
  <c r="DQ131"/>
  <c r="DW131"/>
  <c r="DX131"/>
  <c r="DZ131"/>
  <c r="DP132"/>
  <c r="DQ132"/>
  <c r="DW132"/>
  <c r="DP133"/>
  <c r="DQ133"/>
  <c r="DW133"/>
  <c r="DP134"/>
  <c r="DQ134"/>
  <c r="DW134"/>
  <c r="DP135"/>
  <c r="DQ135"/>
  <c r="DW135"/>
  <c r="DP136"/>
  <c r="DQ136"/>
  <c r="DW136"/>
  <c r="DP137"/>
  <c r="DQ137"/>
  <c r="DW137"/>
  <c r="DP138"/>
  <c r="DQ138"/>
  <c r="DW138"/>
  <c r="DP139"/>
  <c r="DQ139"/>
  <c r="DW139"/>
  <c r="DP140"/>
  <c r="DQ140"/>
  <c r="DW140"/>
  <c r="DP141"/>
  <c r="DQ141"/>
  <c r="DW141"/>
  <c r="DP142"/>
  <c r="DQ142"/>
  <c r="DW142"/>
  <c r="DP143"/>
  <c r="DQ143"/>
  <c r="DW143"/>
  <c r="DP144"/>
  <c r="DQ144"/>
  <c r="DW144"/>
  <c r="DP145"/>
  <c r="DQ145"/>
  <c r="DW145"/>
  <c r="DP146"/>
  <c r="DQ146"/>
  <c r="DW146"/>
  <c r="DP147"/>
  <c r="DQ147"/>
  <c r="DW147"/>
  <c r="DP148"/>
  <c r="DQ148"/>
  <c r="DW148"/>
  <c r="DP149"/>
  <c r="DQ149"/>
  <c r="DW149"/>
  <c r="DP150"/>
  <c r="DQ150"/>
  <c r="DW150"/>
  <c r="DP151"/>
  <c r="DQ151"/>
  <c r="DW151"/>
  <c r="DP152"/>
  <c r="DQ152"/>
  <c r="DW152"/>
  <c r="DP153"/>
  <c r="DQ153"/>
  <c r="DW153"/>
  <c r="DP154"/>
  <c r="DQ154"/>
  <c r="DW154"/>
  <c r="DP155"/>
  <c r="DQ155"/>
  <c r="DW155"/>
  <c r="DP156"/>
  <c r="DQ156"/>
  <c r="DW156"/>
  <c r="DP157"/>
  <c r="DQ157"/>
  <c r="DW157"/>
  <c r="DP158"/>
  <c r="DV158"/>
  <c r="DQ158"/>
  <c r="DW158"/>
  <c r="DX158"/>
  <c r="DZ158"/>
  <c r="DP159"/>
  <c r="DV159"/>
  <c r="DQ159"/>
  <c r="DW159"/>
  <c r="DX159"/>
  <c r="DZ159"/>
  <c r="DP160"/>
  <c r="DV160"/>
  <c r="DQ160"/>
  <c r="DW160"/>
  <c r="DX160"/>
  <c r="DZ160"/>
  <c r="DP161"/>
  <c r="DV161"/>
  <c r="DQ161"/>
  <c r="DW161"/>
  <c r="DX161"/>
  <c r="DZ161"/>
  <c r="DP162"/>
  <c r="DV162"/>
  <c r="DQ162"/>
  <c r="DW162"/>
  <c r="DX162"/>
  <c r="DZ162"/>
  <c r="DP163"/>
  <c r="DV163"/>
  <c r="DQ163"/>
  <c r="DW163"/>
  <c r="DX163"/>
  <c r="DZ163"/>
  <c r="DP164"/>
  <c r="DV164"/>
  <c r="DQ164"/>
  <c r="DW164"/>
  <c r="DX164"/>
  <c r="DZ164"/>
  <c r="DP165"/>
  <c r="DV165"/>
  <c r="DQ165"/>
  <c r="DW165"/>
  <c r="DX165"/>
  <c r="DZ165"/>
  <c r="DP166"/>
  <c r="DV166"/>
  <c r="DQ166"/>
  <c r="DW166"/>
  <c r="DX166"/>
  <c r="DZ166"/>
  <c r="DP167"/>
  <c r="DV167"/>
  <c r="DQ167"/>
  <c r="DW167"/>
  <c r="DX167"/>
  <c r="DZ167"/>
  <c r="DP168"/>
  <c r="DV168"/>
  <c r="DQ168"/>
  <c r="DW168"/>
  <c r="DX168"/>
  <c r="DZ168"/>
  <c r="DP169"/>
  <c r="DV169"/>
  <c r="DQ169"/>
  <c r="DW169"/>
  <c r="DX169"/>
  <c r="DZ169"/>
  <c r="DP170"/>
  <c r="DV170"/>
  <c r="DQ170"/>
  <c r="DW170"/>
  <c r="DX170"/>
  <c r="DZ170"/>
  <c r="DP171"/>
  <c r="DV171"/>
  <c r="DQ171"/>
  <c r="DW171"/>
  <c r="DX171"/>
  <c r="DZ171"/>
  <c r="DP172"/>
  <c r="DV172"/>
  <c r="DQ172"/>
  <c r="DW172"/>
  <c r="DX172"/>
  <c r="DZ172"/>
  <c r="DP173"/>
  <c r="DV173"/>
  <c r="DQ173"/>
  <c r="DW173"/>
  <c r="DX173"/>
  <c r="DZ173"/>
  <c r="DP174"/>
  <c r="DV174"/>
  <c r="DQ174"/>
  <c r="DW174"/>
  <c r="DX174"/>
  <c r="DZ174"/>
  <c r="DP175"/>
  <c r="DV175"/>
  <c r="DQ175"/>
  <c r="DW175"/>
  <c r="DX175"/>
  <c r="DZ175"/>
  <c r="DP176"/>
  <c r="DV176"/>
  <c r="DQ176"/>
  <c r="DW176"/>
  <c r="DX176"/>
  <c r="DZ176"/>
  <c r="DP177"/>
  <c r="DV177"/>
  <c r="DQ177"/>
  <c r="DW177"/>
  <c r="DX177"/>
  <c r="DZ177"/>
  <c r="DP178"/>
  <c r="DV178"/>
  <c r="DQ178"/>
  <c r="DW178"/>
  <c r="DX178"/>
  <c r="DZ178"/>
  <c r="DP179"/>
  <c r="DV179"/>
  <c r="DQ179"/>
  <c r="DW179"/>
  <c r="DX179"/>
  <c r="DZ179"/>
  <c r="DP180"/>
  <c r="DV180"/>
  <c r="DQ180"/>
  <c r="DW180"/>
  <c r="DX180"/>
  <c r="DZ180"/>
  <c r="DP181"/>
  <c r="DV181"/>
  <c r="DQ181"/>
  <c r="DW181"/>
  <c r="DX181"/>
  <c r="DZ181"/>
  <c r="DP182"/>
  <c r="DV182"/>
  <c r="DQ182"/>
  <c r="DW182"/>
  <c r="DX182"/>
  <c r="DZ182"/>
  <c r="DP183"/>
  <c r="DV183"/>
  <c r="DQ183"/>
  <c r="DW183"/>
  <c r="DX183"/>
  <c r="DZ183"/>
  <c r="DP184"/>
  <c r="DV184"/>
  <c r="DQ184"/>
  <c r="DW184"/>
  <c r="DX184"/>
  <c r="DZ184"/>
  <c r="DP185"/>
  <c r="DV185"/>
  <c r="DQ185"/>
  <c r="DW185"/>
  <c r="DX185"/>
  <c r="DP186"/>
  <c r="DV186"/>
  <c r="DQ186"/>
  <c r="DW186"/>
  <c r="DX186"/>
  <c r="DZ186"/>
  <c r="DP187"/>
  <c r="DV187"/>
  <c r="DQ187"/>
  <c r="DW187"/>
  <c r="DX187"/>
  <c r="DZ187"/>
  <c r="DP188"/>
  <c r="DV188"/>
  <c r="DQ188"/>
  <c r="DW188"/>
  <c r="DX188"/>
  <c r="DZ188"/>
  <c r="DP189"/>
  <c r="DV189"/>
  <c r="DQ189"/>
  <c r="DW189"/>
  <c r="DX189"/>
  <c r="DZ189"/>
  <c r="DP190"/>
  <c r="DV190"/>
  <c r="DQ190"/>
  <c r="DW190"/>
  <c r="DX190"/>
  <c r="DZ190"/>
  <c r="DP191"/>
  <c r="DV191"/>
  <c r="DQ191"/>
  <c r="DW191"/>
  <c r="DX191"/>
  <c r="DZ191"/>
  <c r="DP192"/>
  <c r="DV192"/>
  <c r="DQ192"/>
  <c r="DW192"/>
  <c r="DX192"/>
  <c r="DZ192"/>
  <c r="DP193"/>
  <c r="DV193"/>
  <c r="DQ193"/>
  <c r="DW193"/>
  <c r="DX193"/>
  <c r="DZ193"/>
  <c r="DP194"/>
  <c r="DV194"/>
  <c r="DQ194"/>
  <c r="DW194"/>
  <c r="DX194"/>
  <c r="DZ194"/>
  <c r="DP195"/>
  <c r="DV195"/>
  <c r="DQ195"/>
  <c r="DW195"/>
  <c r="DX195"/>
  <c r="DZ195"/>
  <c r="DP196"/>
  <c r="DV196"/>
  <c r="DQ196"/>
  <c r="DW196"/>
  <c r="DX196"/>
  <c r="DZ196"/>
  <c r="DP197"/>
  <c r="DV197"/>
  <c r="DQ197"/>
  <c r="DW197"/>
  <c r="DX197"/>
  <c r="DZ197"/>
  <c r="DP198"/>
  <c r="DV198"/>
  <c r="DQ198"/>
  <c r="DW198"/>
  <c r="DX198"/>
  <c r="DZ198"/>
  <c r="DP199"/>
  <c r="DV199"/>
  <c r="DQ199"/>
  <c r="DW199"/>
  <c r="DX199"/>
  <c r="DZ199"/>
  <c r="DP200"/>
  <c r="DV200"/>
  <c r="DQ200"/>
  <c r="DW200"/>
  <c r="DX200"/>
  <c r="DZ200"/>
  <c r="DP201"/>
  <c r="DV201"/>
  <c r="DQ201"/>
  <c r="DW201"/>
  <c r="DX201"/>
  <c r="DZ201"/>
  <c r="DP202"/>
  <c r="DV202"/>
  <c r="DQ202"/>
  <c r="DW202"/>
  <c r="DX202"/>
  <c r="DZ202"/>
  <c r="DP203"/>
  <c r="DV203"/>
  <c r="DQ203"/>
  <c r="DW203"/>
  <c r="DX203"/>
  <c r="DZ203"/>
  <c r="DP204"/>
  <c r="DV204"/>
  <c r="DQ204"/>
  <c r="DW204"/>
  <c r="DX204"/>
  <c r="DZ204"/>
  <c r="DP205"/>
  <c r="DV205"/>
  <c r="DQ205"/>
  <c r="DW205"/>
  <c r="DX205"/>
  <c r="DZ205"/>
  <c r="DP206"/>
  <c r="DV206"/>
  <c r="DQ206"/>
  <c r="DW206"/>
  <c r="DX206"/>
  <c r="DZ206"/>
  <c r="DP207"/>
  <c r="DV207"/>
  <c r="DQ207"/>
  <c r="DW207"/>
  <c r="DX207"/>
  <c r="DZ207"/>
  <c r="DP208"/>
  <c r="DV208"/>
  <c r="DQ208"/>
  <c r="DW208"/>
  <c r="DX208"/>
  <c r="DZ208"/>
  <c r="DP209"/>
  <c r="DV209"/>
  <c r="DQ209"/>
  <c r="DW209"/>
  <c r="DX209"/>
  <c r="DZ209"/>
  <c r="DP210"/>
  <c r="DQ210"/>
  <c r="DW210"/>
  <c r="DP211"/>
  <c r="DQ211"/>
  <c r="DW211"/>
  <c r="DP212"/>
  <c r="DQ212"/>
  <c r="DW212"/>
  <c r="DP213"/>
  <c r="DQ213"/>
  <c r="DW213"/>
  <c r="DP214"/>
  <c r="DQ214"/>
  <c r="DW214"/>
  <c r="DP215"/>
  <c r="DQ215"/>
  <c r="DW215"/>
  <c r="DP216"/>
  <c r="DQ216"/>
  <c r="DW216"/>
  <c r="DP217"/>
  <c r="DQ217"/>
  <c r="DW217"/>
  <c r="DP218"/>
  <c r="DQ218"/>
  <c r="DW218"/>
  <c r="DP219"/>
  <c r="DQ219"/>
  <c r="DW219"/>
  <c r="DP220"/>
  <c r="DQ220"/>
  <c r="DW220"/>
  <c r="DP221"/>
  <c r="DQ221"/>
  <c r="DW221"/>
  <c r="DP222"/>
  <c r="DQ222"/>
  <c r="DW222"/>
  <c r="DP223"/>
  <c r="DQ223"/>
  <c r="DW223"/>
  <c r="DP224"/>
  <c r="DQ224"/>
  <c r="DW224"/>
  <c r="DP225"/>
  <c r="DQ225"/>
  <c r="DW225"/>
  <c r="DP226"/>
  <c r="DQ226"/>
  <c r="DW226"/>
  <c r="DP227"/>
  <c r="DQ227"/>
  <c r="DW227"/>
  <c r="DP228"/>
  <c r="DQ228"/>
  <c r="DW228"/>
  <c r="DP229"/>
  <c r="DQ229"/>
  <c r="DW229"/>
  <c r="DP230"/>
  <c r="DQ230"/>
  <c r="DW230"/>
  <c r="DP231"/>
  <c r="DQ231"/>
  <c r="DW231"/>
  <c r="DP232"/>
  <c r="DQ232"/>
  <c r="DW232"/>
  <c r="DP233"/>
  <c r="DQ233"/>
  <c r="DW233"/>
  <c r="DP234"/>
  <c r="DQ234"/>
  <c r="DW234"/>
  <c r="DP235"/>
  <c r="DQ235"/>
  <c r="DW235"/>
  <c r="DP236"/>
  <c r="DV236"/>
  <c r="DQ236"/>
  <c r="DW236"/>
  <c r="DX236"/>
  <c r="DZ236"/>
  <c r="DP237"/>
  <c r="DV237"/>
  <c r="DQ237"/>
  <c r="DW237"/>
  <c r="DX237"/>
  <c r="DZ237"/>
  <c r="DP238"/>
  <c r="DV238"/>
  <c r="DQ238"/>
  <c r="DW238"/>
  <c r="DX238"/>
  <c r="DZ238"/>
  <c r="AM4" i="1"/>
  <c r="AM3"/>
  <c r="DP469" i="2"/>
  <c r="DV469"/>
  <c r="DQ469"/>
  <c r="DW469"/>
  <c r="DX469"/>
  <c r="DZ469"/>
  <c r="DP468"/>
  <c r="DV468"/>
  <c r="DQ468"/>
  <c r="DW468"/>
  <c r="DX468"/>
  <c r="DZ468"/>
  <c r="DP467"/>
  <c r="DV467"/>
  <c r="DQ467"/>
  <c r="DW467"/>
  <c r="DX467"/>
  <c r="DZ467"/>
  <c r="DP466"/>
  <c r="DV466"/>
  <c r="DQ466"/>
  <c r="DW466"/>
  <c r="DX466"/>
  <c r="DZ466"/>
  <c r="DP465"/>
  <c r="DV465"/>
  <c r="DQ465"/>
  <c r="DW465"/>
  <c r="DX465"/>
  <c r="DZ465"/>
  <c r="DP464"/>
  <c r="DV464"/>
  <c r="DQ464"/>
  <c r="DW464"/>
  <c r="DX464"/>
  <c r="DZ464"/>
  <c r="DP463"/>
  <c r="DV463"/>
  <c r="DQ463"/>
  <c r="DW463"/>
  <c r="DX463"/>
  <c r="DZ463"/>
  <c r="DP462"/>
  <c r="DV462"/>
  <c r="DQ462"/>
  <c r="DW462"/>
  <c r="DX462"/>
  <c r="DZ462"/>
  <c r="DP461"/>
  <c r="DV461"/>
  <c r="DQ461"/>
  <c r="DW461"/>
  <c r="DX461"/>
  <c r="DZ461"/>
  <c r="DP460"/>
  <c r="DV460"/>
  <c r="DQ460"/>
  <c r="DW460"/>
  <c r="DX460"/>
  <c r="DZ460"/>
  <c r="DP459"/>
  <c r="DV459"/>
  <c r="DQ459"/>
  <c r="DW459"/>
  <c r="DX459"/>
  <c r="DZ459"/>
  <c r="DP458"/>
  <c r="DV458"/>
  <c r="DQ458"/>
  <c r="DW458"/>
  <c r="DX458"/>
  <c r="DZ458"/>
  <c r="DP457"/>
  <c r="DV457"/>
  <c r="DQ457"/>
  <c r="DW457"/>
  <c r="DX457"/>
  <c r="DZ457"/>
  <c r="DP456"/>
  <c r="DV456"/>
  <c r="DQ456"/>
  <c r="DW456"/>
  <c r="DX456"/>
  <c r="DZ456"/>
  <c r="DP455"/>
  <c r="DV455"/>
  <c r="DQ455"/>
  <c r="DW455"/>
  <c r="DX455"/>
  <c r="DZ455"/>
  <c r="DP454"/>
  <c r="DV454"/>
  <c r="DQ454"/>
  <c r="DW454"/>
  <c r="DX454"/>
  <c r="DZ454"/>
  <c r="DP453"/>
  <c r="DV453"/>
  <c r="DQ453"/>
  <c r="DW453"/>
  <c r="DX453"/>
  <c r="DZ453"/>
  <c r="DP452"/>
  <c r="DV452"/>
  <c r="DQ452"/>
  <c r="DW452"/>
  <c r="DX452"/>
  <c r="DZ452"/>
  <c r="DP451"/>
  <c r="DV451"/>
  <c r="DQ451"/>
  <c r="DW451"/>
  <c r="DX451"/>
  <c r="DZ451"/>
  <c r="DP450"/>
  <c r="DV450"/>
  <c r="DQ450"/>
  <c r="DW450"/>
  <c r="DX450"/>
  <c r="DZ450"/>
  <c r="DP449"/>
  <c r="DV449"/>
  <c r="DQ449"/>
  <c r="DW449"/>
  <c r="DX449"/>
  <c r="DZ449"/>
  <c r="DP448"/>
  <c r="DV448"/>
  <c r="DQ448"/>
  <c r="DW448"/>
  <c r="DX448"/>
  <c r="DZ448"/>
  <c r="DP447"/>
  <c r="DV447"/>
  <c r="DQ447"/>
  <c r="DW447"/>
  <c r="DX447"/>
  <c r="DZ447"/>
  <c r="DP446"/>
  <c r="DV446"/>
  <c r="DQ446"/>
  <c r="DW446"/>
  <c r="DX446"/>
  <c r="DZ446"/>
  <c r="DP445"/>
  <c r="DV445"/>
  <c r="DQ445"/>
  <c r="DW445"/>
  <c r="DX445"/>
  <c r="DZ445"/>
  <c r="DP444"/>
  <c r="DV444"/>
  <c r="DQ444"/>
  <c r="DW444"/>
  <c r="DX444"/>
  <c r="DZ444"/>
  <c r="EB54"/>
  <c r="DP443"/>
  <c r="DV443"/>
  <c r="DQ443"/>
  <c r="DW443"/>
  <c r="DX443"/>
  <c r="DZ443"/>
  <c r="DP442"/>
  <c r="DV442"/>
  <c r="DQ442"/>
  <c r="DW442"/>
  <c r="DX442"/>
  <c r="DZ442"/>
  <c r="DP441"/>
  <c r="DV441"/>
  <c r="DQ441"/>
  <c r="DW441"/>
  <c r="DX441"/>
  <c r="DZ441"/>
  <c r="DP440"/>
  <c r="DV440"/>
  <c r="DQ440"/>
  <c r="DW440"/>
  <c r="DX440"/>
  <c r="DZ440"/>
  <c r="DP439"/>
  <c r="DV439"/>
  <c r="DQ439"/>
  <c r="DW439"/>
  <c r="DX439"/>
  <c r="DZ439"/>
  <c r="DP438"/>
  <c r="DV438"/>
  <c r="DQ438"/>
  <c r="DW438"/>
  <c r="DX438"/>
  <c r="DZ438"/>
  <c r="DP437"/>
  <c r="DV437"/>
  <c r="DQ437"/>
  <c r="DW437"/>
  <c r="DX437"/>
  <c r="DZ437"/>
  <c r="DP436"/>
  <c r="DV436"/>
  <c r="DQ436"/>
  <c r="DW436"/>
  <c r="DX436"/>
  <c r="DZ436"/>
  <c r="DP435"/>
  <c r="DV435"/>
  <c r="DQ435"/>
  <c r="DW435"/>
  <c r="DX435"/>
  <c r="DZ435"/>
  <c r="DP434"/>
  <c r="DV434"/>
  <c r="DQ434"/>
  <c r="DW434"/>
  <c r="DX434"/>
  <c r="DZ434"/>
  <c r="DP433"/>
  <c r="DV433"/>
  <c r="DQ433"/>
  <c r="DW433"/>
  <c r="DX433"/>
  <c r="DZ433"/>
  <c r="DP432"/>
  <c r="DV432"/>
  <c r="DQ432"/>
  <c r="DW432"/>
  <c r="DX432"/>
  <c r="DZ432"/>
  <c r="DP431"/>
  <c r="DV431"/>
  <c r="DQ431"/>
  <c r="DW431"/>
  <c r="DX431"/>
  <c r="DZ431"/>
  <c r="DP430"/>
  <c r="DV430"/>
  <c r="DQ430"/>
  <c r="DW430"/>
  <c r="DX430"/>
  <c r="DZ430"/>
  <c r="DP429"/>
  <c r="DV429"/>
  <c r="DQ429"/>
  <c r="DW429"/>
  <c r="DX429"/>
  <c r="DZ429"/>
  <c r="DP428"/>
  <c r="DV428"/>
  <c r="DQ428"/>
  <c r="DW428"/>
  <c r="DX428"/>
  <c r="DZ428"/>
  <c r="DP427"/>
  <c r="DV427"/>
  <c r="DQ427"/>
  <c r="DW427"/>
  <c r="DX427"/>
  <c r="DZ427"/>
  <c r="DP426"/>
  <c r="DV426"/>
  <c r="DQ426"/>
  <c r="DW426"/>
  <c r="DX426"/>
  <c r="DZ426"/>
  <c r="DP425"/>
  <c r="DV425"/>
  <c r="DQ425"/>
  <c r="DW425"/>
  <c r="DX425"/>
  <c r="DZ425"/>
  <c r="DP424"/>
  <c r="DV424"/>
  <c r="DQ424"/>
  <c r="DW424"/>
  <c r="DX424"/>
  <c r="DZ424"/>
  <c r="DP423"/>
  <c r="DV423"/>
  <c r="DQ423"/>
  <c r="DW423"/>
  <c r="DX423"/>
  <c r="DZ423"/>
  <c r="DP422"/>
  <c r="DV422"/>
  <c r="DQ422"/>
  <c r="DW422"/>
  <c r="DX422"/>
  <c r="DZ422"/>
  <c r="DP421"/>
  <c r="DV421"/>
  <c r="DQ421"/>
  <c r="DW421"/>
  <c r="DX421"/>
  <c r="DZ421"/>
  <c r="DP420"/>
  <c r="DV420"/>
  <c r="DQ420"/>
  <c r="DW420"/>
  <c r="DX420"/>
  <c r="DZ420"/>
  <c r="DP419"/>
  <c r="DV419"/>
  <c r="DQ419"/>
  <c r="DW419"/>
  <c r="DX419"/>
  <c r="DZ419"/>
  <c r="DP418"/>
  <c r="DV418"/>
  <c r="DQ418"/>
  <c r="DW418"/>
  <c r="DX418"/>
  <c r="DZ418"/>
  <c r="EB51"/>
  <c r="DP417"/>
  <c r="DV417"/>
  <c r="DQ417"/>
  <c r="DW417"/>
  <c r="DX417"/>
  <c r="DZ417"/>
  <c r="DP416"/>
  <c r="DV416"/>
  <c r="DQ416"/>
  <c r="DW416"/>
  <c r="DX416"/>
  <c r="DZ416"/>
  <c r="DP415"/>
  <c r="DV415"/>
  <c r="DQ415"/>
  <c r="DW415"/>
  <c r="DX415"/>
  <c r="DZ415"/>
  <c r="DP414"/>
  <c r="DV414"/>
  <c r="DQ414"/>
  <c r="DW414"/>
  <c r="DX414"/>
  <c r="DZ414"/>
  <c r="DP413"/>
  <c r="DV413"/>
  <c r="DQ413"/>
  <c r="DW413"/>
  <c r="DX413"/>
  <c r="DZ413"/>
  <c r="DP412"/>
  <c r="DV412"/>
  <c r="DQ412"/>
  <c r="DW412"/>
  <c r="DX412"/>
  <c r="DZ412"/>
  <c r="DP411"/>
  <c r="DV411"/>
  <c r="DQ411"/>
  <c r="DW411"/>
  <c r="DX411"/>
  <c r="DZ411"/>
  <c r="DP410"/>
  <c r="DV410"/>
  <c r="DQ410"/>
  <c r="DW410"/>
  <c r="DX410"/>
  <c r="DZ410"/>
  <c r="DP409"/>
  <c r="DV409"/>
  <c r="DQ409"/>
  <c r="DW409"/>
  <c r="DX409"/>
  <c r="DZ409"/>
  <c r="DP408"/>
  <c r="DV408"/>
  <c r="DQ408"/>
  <c r="DW408"/>
  <c r="DX408"/>
  <c r="DZ408"/>
  <c r="DP407"/>
  <c r="DV407"/>
  <c r="DQ407"/>
  <c r="DW407"/>
  <c r="DX407"/>
  <c r="DZ407"/>
  <c r="DP406"/>
  <c r="DV406"/>
  <c r="DQ406"/>
  <c r="DW406"/>
  <c r="DX406"/>
  <c r="DZ406"/>
  <c r="DP405"/>
  <c r="DV405"/>
  <c r="DQ405"/>
  <c r="DW405"/>
  <c r="DX405"/>
  <c r="DZ405"/>
  <c r="DP404"/>
  <c r="DV404"/>
  <c r="DQ404"/>
  <c r="DW404"/>
  <c r="DX404"/>
  <c r="DZ404"/>
  <c r="DP403"/>
  <c r="DV403"/>
  <c r="DQ403"/>
  <c r="DW403"/>
  <c r="DX403"/>
  <c r="DZ403"/>
  <c r="DP402"/>
  <c r="DV402"/>
  <c r="DQ402"/>
  <c r="DW402"/>
  <c r="DX402"/>
  <c r="DZ402"/>
  <c r="DP401"/>
  <c r="DV401"/>
  <c r="DQ401"/>
  <c r="DW401"/>
  <c r="DX401"/>
  <c r="DZ401"/>
  <c r="DP400"/>
  <c r="DV400"/>
  <c r="DQ400"/>
  <c r="DW400"/>
  <c r="DX400"/>
  <c r="DZ400"/>
  <c r="DP399"/>
  <c r="DV399"/>
  <c r="DQ399"/>
  <c r="DW399"/>
  <c r="DX399"/>
  <c r="DZ399"/>
  <c r="DP398"/>
  <c r="DV398"/>
  <c r="DQ398"/>
  <c r="DW398"/>
  <c r="DX398"/>
  <c r="DZ398"/>
  <c r="DP397"/>
  <c r="DV397"/>
  <c r="DQ397"/>
  <c r="DW397"/>
  <c r="DX397"/>
  <c r="DZ397"/>
  <c r="DP396"/>
  <c r="DV396"/>
  <c r="DQ396"/>
  <c r="DW396"/>
  <c r="DX396"/>
  <c r="DZ396"/>
  <c r="DP395"/>
  <c r="DV395"/>
  <c r="DQ395"/>
  <c r="DW395"/>
  <c r="DX395"/>
  <c r="DZ395"/>
  <c r="DU52"/>
  <c r="DP394"/>
  <c r="DQ394"/>
  <c r="DW394"/>
  <c r="DP393"/>
  <c r="DV393"/>
  <c r="DQ393"/>
  <c r="DW393"/>
  <c r="DX393"/>
  <c r="DZ393"/>
  <c r="DP392"/>
  <c r="DV392"/>
  <c r="DQ392"/>
  <c r="DW392"/>
  <c r="DX392"/>
  <c r="DZ392"/>
  <c r="DP391"/>
  <c r="DV391"/>
  <c r="DQ391"/>
  <c r="DW391"/>
  <c r="DX391"/>
  <c r="DZ391"/>
  <c r="DP390"/>
  <c r="DV390"/>
  <c r="DQ390"/>
  <c r="DW390"/>
  <c r="DX390"/>
  <c r="DZ390"/>
  <c r="DP389"/>
  <c r="DV389"/>
  <c r="DQ389"/>
  <c r="DW389"/>
  <c r="DX389"/>
  <c r="DZ389"/>
  <c r="DP388"/>
  <c r="DV388"/>
  <c r="DQ388"/>
  <c r="DW388"/>
  <c r="DX388"/>
  <c r="DZ388"/>
  <c r="DP387"/>
  <c r="DV387"/>
  <c r="DQ387"/>
  <c r="DW387"/>
  <c r="DX387"/>
  <c r="DZ387"/>
  <c r="DP386"/>
  <c r="DV386"/>
  <c r="DQ386"/>
  <c r="DW386"/>
  <c r="DX386"/>
  <c r="DZ386"/>
  <c r="DP385"/>
  <c r="DV385"/>
  <c r="DQ385"/>
  <c r="DW385"/>
  <c r="DX385"/>
  <c r="DZ385"/>
  <c r="DP384"/>
  <c r="DV384"/>
  <c r="DQ384"/>
  <c r="DW384"/>
  <c r="DX384"/>
  <c r="DZ384"/>
  <c r="DP383"/>
  <c r="DV383"/>
  <c r="DQ383"/>
  <c r="DW383"/>
  <c r="DX383"/>
  <c r="DZ383"/>
  <c r="DP382"/>
  <c r="DV382"/>
  <c r="DQ382"/>
  <c r="DW382"/>
  <c r="DX382"/>
  <c r="DZ382"/>
  <c r="DP381"/>
  <c r="DV381"/>
  <c r="DQ381"/>
  <c r="DW381"/>
  <c r="DX381"/>
  <c r="DZ381"/>
  <c r="DP380"/>
  <c r="DV380"/>
  <c r="DQ380"/>
  <c r="DW380"/>
  <c r="DX380"/>
  <c r="DZ380"/>
  <c r="DP379"/>
  <c r="DV379"/>
  <c r="DQ379"/>
  <c r="DW379"/>
  <c r="DX379"/>
  <c r="DZ379"/>
  <c r="DP378"/>
  <c r="DV378"/>
  <c r="DQ378"/>
  <c r="DW378"/>
  <c r="DX378"/>
  <c r="DZ378"/>
  <c r="DP377"/>
  <c r="DV377"/>
  <c r="DQ377"/>
  <c r="DW377"/>
  <c r="DX377"/>
  <c r="DZ377"/>
  <c r="DP376"/>
  <c r="DV376"/>
  <c r="DQ376"/>
  <c r="DW376"/>
  <c r="DX376"/>
  <c r="DZ376"/>
  <c r="DP375"/>
  <c r="DV375"/>
  <c r="DQ375"/>
  <c r="DW375"/>
  <c r="DX375"/>
  <c r="DZ375"/>
  <c r="DP374"/>
  <c r="DV374"/>
  <c r="DQ374"/>
  <c r="DW374"/>
  <c r="DX374"/>
  <c r="DZ374"/>
  <c r="DP373"/>
  <c r="DV373"/>
  <c r="DQ373"/>
  <c r="DW373"/>
  <c r="DX373"/>
  <c r="DZ373"/>
  <c r="DP372"/>
  <c r="DV372"/>
  <c r="DQ372"/>
  <c r="DW372"/>
  <c r="DX372"/>
  <c r="DZ372"/>
  <c r="DP371"/>
  <c r="DV371"/>
  <c r="DQ371"/>
  <c r="DW371"/>
  <c r="DX371"/>
  <c r="DZ371"/>
  <c r="DP370"/>
  <c r="DV370"/>
  <c r="DQ370"/>
  <c r="DW370"/>
  <c r="DX370"/>
  <c r="DZ370"/>
  <c r="DP369"/>
  <c r="DU48"/>
  <c r="DU47"/>
  <c r="DV369"/>
  <c r="DQ369"/>
  <c r="DW369"/>
  <c r="DX369"/>
  <c r="DZ369"/>
  <c r="DP368"/>
  <c r="DV368"/>
  <c r="DQ368"/>
  <c r="DW368"/>
  <c r="DX368"/>
  <c r="DZ368"/>
  <c r="DP367"/>
  <c r="DV367"/>
  <c r="DQ367"/>
  <c r="DW367"/>
  <c r="DX367"/>
  <c r="DZ367"/>
  <c r="DP366"/>
  <c r="DV366"/>
  <c r="DQ366"/>
  <c r="DW366"/>
  <c r="DX366"/>
  <c r="DZ366"/>
  <c r="EB45"/>
  <c r="DP365"/>
  <c r="DV365"/>
  <c r="DQ365"/>
  <c r="DW365"/>
  <c r="DX365"/>
  <c r="DZ365"/>
  <c r="DP364"/>
  <c r="DV364"/>
  <c r="DQ364"/>
  <c r="DW364"/>
  <c r="DX364"/>
  <c r="DZ364"/>
  <c r="DP363"/>
  <c r="DV363"/>
  <c r="DQ363"/>
  <c r="DW363"/>
  <c r="DX363"/>
  <c r="DZ363"/>
  <c r="DP362"/>
  <c r="DV362"/>
  <c r="DQ362"/>
  <c r="DW362"/>
  <c r="DX362"/>
  <c r="DZ362"/>
  <c r="DP361"/>
  <c r="DV361"/>
  <c r="DQ361"/>
  <c r="DW361"/>
  <c r="DX361"/>
  <c r="DZ361"/>
  <c r="DP360"/>
  <c r="DV360"/>
  <c r="DQ360"/>
  <c r="DW360"/>
  <c r="DX360"/>
  <c r="DZ360"/>
  <c r="DP359"/>
  <c r="DV359"/>
  <c r="DQ359"/>
  <c r="DW359"/>
  <c r="DX359"/>
  <c r="DZ359"/>
  <c r="DP358"/>
  <c r="DV358"/>
  <c r="DQ358"/>
  <c r="DW358"/>
  <c r="DX358"/>
  <c r="DZ358"/>
  <c r="DP357"/>
  <c r="DV357"/>
  <c r="DQ357"/>
  <c r="DW357"/>
  <c r="DX357"/>
  <c r="DZ357"/>
  <c r="DP356"/>
  <c r="DV356"/>
  <c r="DQ356"/>
  <c r="DW356"/>
  <c r="DX356"/>
  <c r="DZ356"/>
  <c r="DP355"/>
  <c r="DV355"/>
  <c r="DQ355"/>
  <c r="DW355"/>
  <c r="DX355"/>
  <c r="DZ355"/>
  <c r="DP354"/>
  <c r="DV354"/>
  <c r="DQ354"/>
  <c r="DW354"/>
  <c r="DX354"/>
  <c r="DZ354"/>
  <c r="DP353"/>
  <c r="DV353"/>
  <c r="DQ353"/>
  <c r="DW353"/>
  <c r="DX353"/>
  <c r="DZ353"/>
  <c r="DP352"/>
  <c r="DV352"/>
  <c r="DQ352"/>
  <c r="DW352"/>
  <c r="DX352"/>
  <c r="DZ352"/>
  <c r="DP351"/>
  <c r="DV351"/>
  <c r="DQ351"/>
  <c r="DW351"/>
  <c r="DX351"/>
  <c r="DZ351"/>
  <c r="DP350"/>
  <c r="DV350"/>
  <c r="DQ350"/>
  <c r="DW350"/>
  <c r="DX350"/>
  <c r="DZ350"/>
  <c r="DP349"/>
  <c r="DV349"/>
  <c r="DQ349"/>
  <c r="DW349"/>
  <c r="DX349"/>
  <c r="DZ349"/>
  <c r="DP348"/>
  <c r="DV348"/>
  <c r="DQ348"/>
  <c r="DW348"/>
  <c r="DX348"/>
  <c r="DZ348"/>
  <c r="DP347"/>
  <c r="DV347"/>
  <c r="DQ347"/>
  <c r="DW347"/>
  <c r="DX347"/>
  <c r="DZ347"/>
  <c r="DP346"/>
  <c r="DV346"/>
  <c r="DQ346"/>
  <c r="DW346"/>
  <c r="DX346"/>
  <c r="DZ346"/>
  <c r="DP345"/>
  <c r="DV345"/>
  <c r="DQ345"/>
  <c r="DW345"/>
  <c r="DX345"/>
  <c r="DZ345"/>
  <c r="DP344"/>
  <c r="DV344"/>
  <c r="DQ344"/>
  <c r="DW344"/>
  <c r="DX344"/>
  <c r="DZ344"/>
  <c r="DP343"/>
  <c r="DV343"/>
  <c r="DQ343"/>
  <c r="DW343"/>
  <c r="DX343"/>
  <c r="DZ343"/>
  <c r="DP342"/>
  <c r="DV342"/>
  <c r="DQ342"/>
  <c r="DW342"/>
  <c r="DX342"/>
  <c r="DZ342"/>
  <c r="DP341"/>
  <c r="DV341"/>
  <c r="DQ341"/>
  <c r="DW341"/>
  <c r="DX341"/>
  <c r="DZ341"/>
  <c r="DP340"/>
  <c r="DV340"/>
  <c r="DQ340"/>
  <c r="DW340"/>
  <c r="DX340"/>
  <c r="DZ340"/>
  <c r="EB42"/>
  <c r="DP339"/>
  <c r="DV339"/>
  <c r="DQ339"/>
  <c r="DW339"/>
  <c r="DX339"/>
  <c r="DZ339"/>
  <c r="DP338"/>
  <c r="DV338"/>
  <c r="DQ338"/>
  <c r="DW338"/>
  <c r="DX338"/>
  <c r="DZ338"/>
  <c r="DP337"/>
  <c r="DV337"/>
  <c r="DQ337"/>
  <c r="DW337"/>
  <c r="DX337"/>
  <c r="DZ337"/>
  <c r="DP336"/>
  <c r="DV336"/>
  <c r="DQ336"/>
  <c r="DW336"/>
  <c r="DX336"/>
  <c r="DZ336"/>
  <c r="DP335"/>
  <c r="DV335"/>
  <c r="DQ335"/>
  <c r="DW335"/>
  <c r="DX335"/>
  <c r="DZ335"/>
  <c r="DP334"/>
  <c r="DV334"/>
  <c r="DQ334"/>
  <c r="DW334"/>
  <c r="DX334"/>
  <c r="DZ334"/>
  <c r="DP333"/>
  <c r="DV333"/>
  <c r="DQ333"/>
  <c r="DW333"/>
  <c r="DX333"/>
  <c r="DZ333"/>
  <c r="DP332"/>
  <c r="DV332"/>
  <c r="DQ332"/>
  <c r="DW332"/>
  <c r="DX332"/>
  <c r="DZ332"/>
  <c r="DP331"/>
  <c r="DV331"/>
  <c r="DQ331"/>
  <c r="DW331"/>
  <c r="DX331"/>
  <c r="DZ331"/>
  <c r="DP330"/>
  <c r="DV330"/>
  <c r="DQ330"/>
  <c r="DW330"/>
  <c r="DX330"/>
  <c r="DZ330"/>
  <c r="DP329"/>
  <c r="DV329"/>
  <c r="DQ329"/>
  <c r="DW329"/>
  <c r="DX329"/>
  <c r="DZ329"/>
  <c r="DP328"/>
  <c r="DV328"/>
  <c r="DQ328"/>
  <c r="DW328"/>
  <c r="DX328"/>
  <c r="DZ328"/>
  <c r="DP327"/>
  <c r="DV327"/>
  <c r="DQ327"/>
  <c r="DW327"/>
  <c r="DX327"/>
  <c r="DZ327"/>
  <c r="DP326"/>
  <c r="DV326"/>
  <c r="DQ326"/>
  <c r="DW326"/>
  <c r="DX326"/>
  <c r="DZ326"/>
  <c r="DP325"/>
  <c r="DV325"/>
  <c r="DQ325"/>
  <c r="DW325"/>
  <c r="DX325"/>
  <c r="DZ325"/>
  <c r="DP324"/>
  <c r="DV324"/>
  <c r="DQ324"/>
  <c r="DW324"/>
  <c r="DX324"/>
  <c r="DZ324"/>
  <c r="DP323"/>
  <c r="DV323"/>
  <c r="DQ323"/>
  <c r="DW323"/>
  <c r="DX323"/>
  <c r="DZ323"/>
  <c r="DP322"/>
  <c r="DV322"/>
  <c r="DQ322"/>
  <c r="DW322"/>
  <c r="DX322"/>
  <c r="DZ322"/>
  <c r="DP321"/>
  <c r="DV321"/>
  <c r="DQ321"/>
  <c r="DW321"/>
  <c r="DX321"/>
  <c r="DZ321"/>
  <c r="DP320"/>
  <c r="DV320"/>
  <c r="DQ320"/>
  <c r="DW320"/>
  <c r="DX320"/>
  <c r="DZ320"/>
  <c r="DP319"/>
  <c r="DV319"/>
  <c r="DQ319"/>
  <c r="DW319"/>
  <c r="DX319"/>
  <c r="DZ319"/>
  <c r="DP318"/>
  <c r="DV318"/>
  <c r="DQ318"/>
  <c r="DW318"/>
  <c r="DX318"/>
  <c r="DZ318"/>
  <c r="DP317"/>
  <c r="DV317"/>
  <c r="DQ317"/>
  <c r="DW317"/>
  <c r="DX317"/>
  <c r="DZ317"/>
  <c r="DP316"/>
  <c r="DV316"/>
  <c r="DQ316"/>
  <c r="DW316"/>
  <c r="DX316"/>
  <c r="DZ316"/>
  <c r="DP315"/>
  <c r="DV315"/>
  <c r="DQ315"/>
  <c r="DW315"/>
  <c r="DX315"/>
  <c r="DZ315"/>
  <c r="DP314"/>
  <c r="DV314"/>
  <c r="DQ314"/>
  <c r="DW314"/>
  <c r="DX314"/>
  <c r="DZ314"/>
  <c r="EB39"/>
  <c r="DP313"/>
  <c r="DV313"/>
  <c r="DQ313"/>
  <c r="DW313"/>
  <c r="DX313"/>
  <c r="DZ313"/>
  <c r="DP312"/>
  <c r="DV312"/>
  <c r="DQ312"/>
  <c r="DW312"/>
  <c r="DX312"/>
  <c r="DZ312"/>
  <c r="DP311"/>
  <c r="DV311"/>
  <c r="DQ311"/>
  <c r="DW311"/>
  <c r="DX311"/>
  <c r="DZ311"/>
  <c r="DP310"/>
  <c r="DV310"/>
  <c r="DQ310"/>
  <c r="DW310"/>
  <c r="DX310"/>
  <c r="DZ310"/>
  <c r="DP309"/>
  <c r="DV309"/>
  <c r="DQ309"/>
  <c r="DW309"/>
  <c r="DX309"/>
  <c r="DZ309"/>
  <c r="DP308"/>
  <c r="DV308"/>
  <c r="DQ308"/>
  <c r="DW308"/>
  <c r="DX308"/>
  <c r="DZ308"/>
  <c r="DP307"/>
  <c r="DV307"/>
  <c r="DQ307"/>
  <c r="DW307"/>
  <c r="DX307"/>
  <c r="DZ307"/>
  <c r="DP306"/>
  <c r="DV306"/>
  <c r="DQ306"/>
  <c r="DW306"/>
  <c r="DX306"/>
  <c r="DZ306"/>
  <c r="DP305"/>
  <c r="DV305"/>
  <c r="DQ305"/>
  <c r="DW305"/>
  <c r="DX305"/>
  <c r="DZ305"/>
  <c r="DP304"/>
  <c r="DV304"/>
  <c r="DQ304"/>
  <c r="DW304"/>
  <c r="DX304"/>
  <c r="DZ304"/>
  <c r="DP303"/>
  <c r="DV303"/>
  <c r="DQ303"/>
  <c r="DW303"/>
  <c r="DX303"/>
  <c r="DZ303"/>
  <c r="DP302"/>
  <c r="DV302"/>
  <c r="DQ302"/>
  <c r="DW302"/>
  <c r="DX302"/>
  <c r="DZ302"/>
  <c r="DP301"/>
  <c r="DV301"/>
  <c r="DQ301"/>
  <c r="DW301"/>
  <c r="DX301"/>
  <c r="DZ301"/>
  <c r="DP300"/>
  <c r="DV300"/>
  <c r="DQ300"/>
  <c r="DW300"/>
  <c r="DX300"/>
  <c r="DZ300"/>
  <c r="DP299"/>
  <c r="DV299"/>
  <c r="DQ299"/>
  <c r="DW299"/>
  <c r="DX299"/>
  <c r="DZ299"/>
  <c r="DP298"/>
  <c r="DV298"/>
  <c r="DQ298"/>
  <c r="DW298"/>
  <c r="DX298"/>
  <c r="DZ298"/>
  <c r="DP297"/>
  <c r="DV297"/>
  <c r="DQ297"/>
  <c r="DW297"/>
  <c r="DX297"/>
  <c r="DZ297"/>
  <c r="DP296"/>
  <c r="DV296"/>
  <c r="DQ296"/>
  <c r="DW296"/>
  <c r="DX296"/>
  <c r="DZ296"/>
  <c r="DP295"/>
  <c r="DV295"/>
  <c r="DQ295"/>
  <c r="DW295"/>
  <c r="DX295"/>
  <c r="DZ295"/>
  <c r="DP294"/>
  <c r="DV294"/>
  <c r="DQ294"/>
  <c r="DW294"/>
  <c r="DX294"/>
  <c r="DZ294"/>
  <c r="DP293"/>
  <c r="DV293"/>
  <c r="DQ293"/>
  <c r="DW293"/>
  <c r="DX293"/>
  <c r="DZ293"/>
  <c r="DP292"/>
  <c r="DV292"/>
  <c r="DQ292"/>
  <c r="DW292"/>
  <c r="DX292"/>
  <c r="DZ292"/>
  <c r="DP291"/>
  <c r="DU39"/>
  <c r="DV291"/>
  <c r="DQ291"/>
  <c r="DW291"/>
  <c r="DX291"/>
  <c r="DZ291"/>
  <c r="DP290"/>
  <c r="DV290"/>
  <c r="DQ290"/>
  <c r="DW290"/>
  <c r="DX290"/>
  <c r="DZ290"/>
  <c r="DP289"/>
  <c r="DV289"/>
  <c r="DQ289"/>
  <c r="DW289"/>
  <c r="DX289"/>
  <c r="DZ289"/>
  <c r="DP288"/>
  <c r="DV288"/>
  <c r="DQ288"/>
  <c r="DW288"/>
  <c r="DX288"/>
  <c r="DZ288"/>
  <c r="EB36"/>
  <c r="DP287"/>
  <c r="DV287"/>
  <c r="DQ287"/>
  <c r="DW287"/>
  <c r="DX287"/>
  <c r="DZ287"/>
  <c r="DP286"/>
  <c r="DV286"/>
  <c r="DQ286"/>
  <c r="DW286"/>
  <c r="DX286"/>
  <c r="DZ286"/>
  <c r="DP285"/>
  <c r="DV285"/>
  <c r="DQ285"/>
  <c r="DW285"/>
  <c r="DX285"/>
  <c r="DZ285"/>
  <c r="DP284"/>
  <c r="DV284"/>
  <c r="DQ284"/>
  <c r="DW284"/>
  <c r="DX284"/>
  <c r="DZ284"/>
  <c r="DP283"/>
  <c r="DV283"/>
  <c r="DQ283"/>
  <c r="DW283"/>
  <c r="DX283"/>
  <c r="DZ283"/>
  <c r="DP282"/>
  <c r="DV282"/>
  <c r="DQ282"/>
  <c r="DW282"/>
  <c r="DX282"/>
  <c r="DZ282"/>
  <c r="DP281"/>
  <c r="DV281"/>
  <c r="DQ281"/>
  <c r="DW281"/>
  <c r="DX281"/>
  <c r="DZ281"/>
  <c r="DP280"/>
  <c r="DV280"/>
  <c r="DQ280"/>
  <c r="DW280"/>
  <c r="DX280"/>
  <c r="DZ280"/>
  <c r="DP279"/>
  <c r="DV279"/>
  <c r="DQ279"/>
  <c r="DW279"/>
  <c r="DX279"/>
  <c r="DZ279"/>
  <c r="DP278"/>
  <c r="DV278"/>
  <c r="DQ278"/>
  <c r="DW278"/>
  <c r="DX278"/>
  <c r="DZ278"/>
  <c r="DP277"/>
  <c r="DV277"/>
  <c r="DQ277"/>
  <c r="DW277"/>
  <c r="DX277"/>
  <c r="DZ277"/>
  <c r="DP276"/>
  <c r="DV276"/>
  <c r="DQ276"/>
  <c r="DW276"/>
  <c r="DX276"/>
  <c r="DZ276"/>
  <c r="DP275"/>
  <c r="DV275"/>
  <c r="DQ275"/>
  <c r="DW275"/>
  <c r="DX275"/>
  <c r="DZ275"/>
  <c r="DP274"/>
  <c r="DV274"/>
  <c r="DQ274"/>
  <c r="DW274"/>
  <c r="DX274"/>
  <c r="DZ274"/>
  <c r="DP273"/>
  <c r="DV273"/>
  <c r="DQ273"/>
  <c r="DW273"/>
  <c r="DX273"/>
  <c r="DZ273"/>
  <c r="DP272"/>
  <c r="DV272"/>
  <c r="DQ272"/>
  <c r="DW272"/>
  <c r="DX272"/>
  <c r="DZ272"/>
  <c r="DP271"/>
  <c r="DV271"/>
  <c r="DQ271"/>
  <c r="DW271"/>
  <c r="DX271"/>
  <c r="DZ271"/>
  <c r="DP270"/>
  <c r="DV270"/>
  <c r="DQ270"/>
  <c r="DW270"/>
  <c r="DX270"/>
  <c r="DZ270"/>
  <c r="DP269"/>
  <c r="DV269"/>
  <c r="DQ269"/>
  <c r="DW269"/>
  <c r="DX269"/>
  <c r="DZ269"/>
  <c r="DP268"/>
  <c r="DV268"/>
  <c r="DQ268"/>
  <c r="DW268"/>
  <c r="DX268"/>
  <c r="DZ268"/>
  <c r="DP267"/>
  <c r="DV267"/>
  <c r="DQ267"/>
  <c r="DW267"/>
  <c r="DX267"/>
  <c r="DZ267"/>
  <c r="DP266"/>
  <c r="DV266"/>
  <c r="DQ266"/>
  <c r="DW266"/>
  <c r="DX266"/>
  <c r="DZ266"/>
  <c r="DP265"/>
  <c r="DV265"/>
  <c r="DQ265"/>
  <c r="DW265"/>
  <c r="DX265"/>
  <c r="DZ265"/>
  <c r="DP264"/>
  <c r="DV264"/>
  <c r="DQ264"/>
  <c r="DW264"/>
  <c r="DX264"/>
  <c r="DZ264"/>
  <c r="DP263"/>
  <c r="DV263"/>
  <c r="DQ263"/>
  <c r="DW263"/>
  <c r="DX263"/>
  <c r="DZ263"/>
  <c r="DP262"/>
  <c r="DV262"/>
  <c r="DQ262"/>
  <c r="DW262"/>
  <c r="DX262"/>
  <c r="DZ262"/>
  <c r="EB33"/>
  <c r="DP261"/>
  <c r="DV261"/>
  <c r="DQ261"/>
  <c r="DW261"/>
  <c r="DX261"/>
  <c r="DZ261"/>
  <c r="DP260"/>
  <c r="DV260"/>
  <c r="DQ260"/>
  <c r="DW260"/>
  <c r="DX260"/>
  <c r="DZ260"/>
  <c r="DP259"/>
  <c r="DV259"/>
  <c r="DQ259"/>
  <c r="DW259"/>
  <c r="DX259"/>
  <c r="DZ259"/>
  <c r="DP258"/>
  <c r="DV258"/>
  <c r="DQ258"/>
  <c r="DW258"/>
  <c r="DX258"/>
  <c r="DZ258"/>
  <c r="DP257"/>
  <c r="DV257"/>
  <c r="DQ257"/>
  <c r="DW257"/>
  <c r="DX257"/>
  <c r="DZ257"/>
  <c r="DP256"/>
  <c r="DV256"/>
  <c r="DQ256"/>
  <c r="DW256"/>
  <c r="DX256"/>
  <c r="DZ256"/>
  <c r="DP255"/>
  <c r="DV255"/>
  <c r="DQ255"/>
  <c r="DW255"/>
  <c r="DX255"/>
  <c r="DZ255"/>
  <c r="DP254"/>
  <c r="DV254"/>
  <c r="DQ254"/>
  <c r="DW254"/>
  <c r="DX254"/>
  <c r="DZ254"/>
  <c r="DP253"/>
  <c r="DV253"/>
  <c r="DQ253"/>
  <c r="DW253"/>
  <c r="DX253"/>
  <c r="DZ253"/>
  <c r="DP252"/>
  <c r="DV252"/>
  <c r="DQ252"/>
  <c r="DW252"/>
  <c r="DX252"/>
  <c r="DZ252"/>
  <c r="DP251"/>
  <c r="DV251"/>
  <c r="DQ251"/>
  <c r="DW251"/>
  <c r="DX251"/>
  <c r="DZ251"/>
  <c r="DP250"/>
  <c r="DV250"/>
  <c r="DQ250"/>
  <c r="DW250"/>
  <c r="DX250"/>
  <c r="DZ250"/>
  <c r="DP249"/>
  <c r="DV249"/>
  <c r="DQ249"/>
  <c r="DW249"/>
  <c r="DX249"/>
  <c r="DZ249"/>
  <c r="DP248"/>
  <c r="DV248"/>
  <c r="DQ248"/>
  <c r="DW248"/>
  <c r="DX248"/>
  <c r="DZ248"/>
  <c r="DP247"/>
  <c r="DV247"/>
  <c r="DQ247"/>
  <c r="DW247"/>
  <c r="DX247"/>
  <c r="DZ247"/>
  <c r="DP246"/>
  <c r="DV246"/>
  <c r="DQ246"/>
  <c r="DW246"/>
  <c r="DX246"/>
  <c r="DZ246"/>
  <c r="DP245"/>
  <c r="DV245"/>
  <c r="DQ245"/>
  <c r="DW245"/>
  <c r="DX245"/>
  <c r="DZ245"/>
  <c r="DP244"/>
  <c r="DV244"/>
  <c r="DQ244"/>
  <c r="DW244"/>
  <c r="DX244"/>
  <c r="DZ244"/>
  <c r="DP243"/>
  <c r="DV243"/>
  <c r="DQ243"/>
  <c r="DW243"/>
  <c r="DX243"/>
  <c r="DZ243"/>
  <c r="DP242"/>
  <c r="DV242"/>
  <c r="DQ242"/>
  <c r="DW242"/>
  <c r="DX242"/>
  <c r="DZ242"/>
  <c r="DP241"/>
  <c r="DV241"/>
  <c r="DQ241"/>
  <c r="DW241"/>
  <c r="DX241"/>
  <c r="DZ241"/>
  <c r="DP240"/>
  <c r="DV240"/>
  <c r="DQ240"/>
  <c r="DW240"/>
  <c r="DX240"/>
  <c r="DZ240"/>
  <c r="DP239"/>
  <c r="DV239"/>
  <c r="DQ239"/>
  <c r="DW239"/>
  <c r="DX239"/>
  <c r="DZ239"/>
  <c r="DV235"/>
  <c r="DX235"/>
  <c r="DZ235"/>
  <c r="DV234"/>
  <c r="DX234"/>
  <c r="DZ234"/>
  <c r="DV233"/>
  <c r="DX233"/>
  <c r="DZ233"/>
  <c r="DV232"/>
  <c r="DX232"/>
  <c r="DZ232"/>
  <c r="DV231"/>
  <c r="DX231"/>
  <c r="DZ231"/>
  <c r="DV230"/>
  <c r="DX230"/>
  <c r="DZ230"/>
  <c r="DV229"/>
  <c r="DX229"/>
  <c r="DZ229"/>
  <c r="DV228"/>
  <c r="DX228"/>
  <c r="DZ228"/>
  <c r="DV227"/>
  <c r="DX227"/>
  <c r="DZ227"/>
  <c r="DV226"/>
  <c r="DX226"/>
  <c r="DZ226"/>
  <c r="DV225"/>
  <c r="DX225"/>
  <c r="DZ225"/>
  <c r="DV224"/>
  <c r="DX224"/>
  <c r="DZ224"/>
  <c r="DV223"/>
  <c r="DX223"/>
  <c r="DZ223"/>
  <c r="DV222"/>
  <c r="DX222"/>
  <c r="DZ222"/>
  <c r="DV221"/>
  <c r="DX221"/>
  <c r="DZ221"/>
  <c r="DV220"/>
  <c r="DX220"/>
  <c r="DZ220"/>
  <c r="DV219"/>
  <c r="DX219"/>
  <c r="DZ219"/>
  <c r="DV218"/>
  <c r="DX218"/>
  <c r="DZ218"/>
  <c r="DV217"/>
  <c r="DX217"/>
  <c r="DZ217"/>
  <c r="DV216"/>
  <c r="DX216"/>
  <c r="DZ216"/>
  <c r="DV215"/>
  <c r="DX215"/>
  <c r="DZ215"/>
  <c r="DV214"/>
  <c r="DX214"/>
  <c r="DZ214"/>
  <c r="DV213"/>
  <c r="DX213"/>
  <c r="DZ213"/>
  <c r="DU26"/>
  <c r="DV212"/>
  <c r="DX212"/>
  <c r="DZ212"/>
  <c r="DV211"/>
  <c r="DX211"/>
  <c r="DZ211"/>
  <c r="DV210"/>
  <c r="DX210"/>
  <c r="DZ210"/>
  <c r="EB27"/>
  <c r="DV157"/>
  <c r="DX157"/>
  <c r="DZ157"/>
  <c r="DV156"/>
  <c r="DX156"/>
  <c r="DZ156"/>
  <c r="DV155"/>
  <c r="DX155"/>
  <c r="DZ155"/>
  <c r="DV154"/>
  <c r="DX154"/>
  <c r="DZ154"/>
  <c r="DV153"/>
  <c r="DX153"/>
  <c r="DZ153"/>
  <c r="DV152"/>
  <c r="DX152"/>
  <c r="DZ152"/>
  <c r="DV151"/>
  <c r="DX151"/>
  <c r="DZ151"/>
  <c r="DV150"/>
  <c r="DX150"/>
  <c r="DZ150"/>
  <c r="DV149"/>
  <c r="DX149"/>
  <c r="DZ149"/>
  <c r="DV148"/>
  <c r="DX148"/>
  <c r="DZ148"/>
  <c r="DV147"/>
  <c r="DX147"/>
  <c r="DZ147"/>
  <c r="DV146"/>
  <c r="DX146"/>
  <c r="DZ146"/>
  <c r="DV145"/>
  <c r="DX145"/>
  <c r="DZ145"/>
  <c r="DV144"/>
  <c r="DX144"/>
  <c r="DZ144"/>
  <c r="DV143"/>
  <c r="DX143"/>
  <c r="DZ143"/>
  <c r="DV142"/>
  <c r="DX142"/>
  <c r="DZ142"/>
  <c r="DV141"/>
  <c r="DX141"/>
  <c r="DZ141"/>
  <c r="DV140"/>
  <c r="DX140"/>
  <c r="DZ140"/>
  <c r="DV139"/>
  <c r="DX139"/>
  <c r="DZ139"/>
  <c r="DV138"/>
  <c r="DX138"/>
  <c r="DZ138"/>
  <c r="DV137"/>
  <c r="DX137"/>
  <c r="DZ137"/>
  <c r="DV136"/>
  <c r="DX136"/>
  <c r="DZ136"/>
  <c r="DV135"/>
  <c r="DX135"/>
  <c r="DZ135"/>
  <c r="DU19"/>
  <c r="DU17"/>
  <c r="DV134"/>
  <c r="DX134"/>
  <c r="DZ134"/>
  <c r="DV133"/>
  <c r="DX133"/>
  <c r="DZ133"/>
  <c r="DU18"/>
  <c r="DV132"/>
  <c r="DX132"/>
  <c r="DZ132"/>
  <c r="EB18"/>
  <c r="EB5"/>
  <c r="EB2"/>
  <c r="EB53"/>
  <c r="EB50"/>
  <c r="EB47"/>
  <c r="EB44"/>
  <c r="EB41"/>
  <c r="EB38"/>
  <c r="EB35"/>
  <c r="EB32"/>
  <c r="EB29"/>
  <c r="EB26"/>
  <c r="EB23"/>
  <c r="EB20"/>
  <c r="EB17"/>
  <c r="EB14"/>
  <c r="EB11"/>
  <c r="DY58"/>
  <c r="EB8"/>
  <c r="DY448"/>
  <c r="DY449"/>
  <c r="DY450"/>
  <c r="DY451"/>
  <c r="DY452"/>
  <c r="DY453"/>
  <c r="DY454"/>
  <c r="DY455"/>
  <c r="DY456"/>
  <c r="DY457"/>
  <c r="DY458"/>
  <c r="DY459"/>
  <c r="DY460"/>
  <c r="DY461"/>
  <c r="DY462"/>
  <c r="DY463"/>
  <c r="DY464"/>
  <c r="DY465"/>
  <c r="DY466"/>
  <c r="DY467"/>
  <c r="DY468"/>
  <c r="DY469"/>
  <c r="DY422"/>
  <c r="DY423"/>
  <c r="DY424"/>
  <c r="DY425"/>
  <c r="DY426"/>
  <c r="DY427"/>
  <c r="DY428"/>
  <c r="DY429"/>
  <c r="DY430"/>
  <c r="DY431"/>
  <c r="DY432"/>
  <c r="DY433"/>
  <c r="DY434"/>
  <c r="DY435"/>
  <c r="DY436"/>
  <c r="DY437"/>
  <c r="DY438"/>
  <c r="DY439"/>
  <c r="DY440"/>
  <c r="DY441"/>
  <c r="DY442"/>
  <c r="DY443"/>
  <c r="DY396"/>
  <c r="DY397"/>
  <c r="DY398"/>
  <c r="DY399"/>
  <c r="DY400"/>
  <c r="DY401"/>
  <c r="DY402"/>
  <c r="DY403"/>
  <c r="DY404"/>
  <c r="DY405"/>
  <c r="DY406"/>
  <c r="DY407"/>
  <c r="DY408"/>
  <c r="DY409"/>
  <c r="DY410"/>
  <c r="DY411"/>
  <c r="DY412"/>
  <c r="DY413"/>
  <c r="DY414"/>
  <c r="DY415"/>
  <c r="DY416"/>
  <c r="DY417"/>
  <c r="DY370"/>
  <c r="DY371"/>
  <c r="DY372"/>
  <c r="DY373"/>
  <c r="DY374"/>
  <c r="DY375"/>
  <c r="DY376"/>
  <c r="DY377"/>
  <c r="DY378"/>
  <c r="DY379"/>
  <c r="DY380"/>
  <c r="DY381"/>
  <c r="DY382"/>
  <c r="DY383"/>
  <c r="DY384"/>
  <c r="DY385"/>
  <c r="DY386"/>
  <c r="DY387"/>
  <c r="DY388"/>
  <c r="DY389"/>
  <c r="DY390"/>
  <c r="DY391"/>
  <c r="DY344"/>
  <c r="DY345"/>
  <c r="DY346"/>
  <c r="DY347"/>
  <c r="DY348"/>
  <c r="DY349"/>
  <c r="DY350"/>
  <c r="DY351"/>
  <c r="DY352"/>
  <c r="DY353"/>
  <c r="DY354"/>
  <c r="DY355"/>
  <c r="DY356"/>
  <c r="DY357"/>
  <c r="DY358"/>
  <c r="DY359"/>
  <c r="DY360"/>
  <c r="DY361"/>
  <c r="DY362"/>
  <c r="DY363"/>
  <c r="DY364"/>
  <c r="DY365"/>
  <c r="DY318"/>
  <c r="DY319"/>
  <c r="DY320"/>
  <c r="DY321"/>
  <c r="DY322"/>
  <c r="DY323"/>
  <c r="DY324"/>
  <c r="DY325"/>
  <c r="DY326"/>
  <c r="DY327"/>
  <c r="DY328"/>
  <c r="DY329"/>
  <c r="DY330"/>
  <c r="DY331"/>
  <c r="DY332"/>
  <c r="DY333"/>
  <c r="DY334"/>
  <c r="DY335"/>
  <c r="DY336"/>
  <c r="DY337"/>
  <c r="DY338"/>
  <c r="DY339"/>
  <c r="DY292"/>
  <c r="DY293"/>
  <c r="DY294"/>
  <c r="DY295"/>
  <c r="DY296"/>
  <c r="DY297"/>
  <c r="DY298"/>
  <c r="DY299"/>
  <c r="DY300"/>
  <c r="DY301"/>
  <c r="DY302"/>
  <c r="DY303"/>
  <c r="DY304"/>
  <c r="DY305"/>
  <c r="DY306"/>
  <c r="DY307"/>
  <c r="DY308"/>
  <c r="DY309"/>
  <c r="DY310"/>
  <c r="DY311"/>
  <c r="DY312"/>
  <c r="DY313"/>
  <c r="DY266"/>
  <c r="DY267"/>
  <c r="DY268"/>
  <c r="DY269"/>
  <c r="DY270"/>
  <c r="DY271"/>
  <c r="DY272"/>
  <c r="DY273"/>
  <c r="DY274"/>
  <c r="DY275"/>
  <c r="DY276"/>
  <c r="DY277"/>
  <c r="DY278"/>
  <c r="DY279"/>
  <c r="DY280"/>
  <c r="DY281"/>
  <c r="DY282"/>
  <c r="DY283"/>
  <c r="DY284"/>
  <c r="DY285"/>
  <c r="DY286"/>
  <c r="DY287"/>
  <c r="DY240"/>
  <c r="DY241"/>
  <c r="DY242"/>
  <c r="DY243"/>
  <c r="DY244"/>
  <c r="DY245"/>
  <c r="DY246"/>
  <c r="DY247"/>
  <c r="DY248"/>
  <c r="DY249"/>
  <c r="DY250"/>
  <c r="DY251"/>
  <c r="DY252"/>
  <c r="DY253"/>
  <c r="DY254"/>
  <c r="DY255"/>
  <c r="DY256"/>
  <c r="DY257"/>
  <c r="DY258"/>
  <c r="DY259"/>
  <c r="DY260"/>
  <c r="DY261"/>
  <c r="DY214"/>
  <c r="DY215"/>
  <c r="DY216"/>
  <c r="DY217"/>
  <c r="DY218"/>
  <c r="DY219"/>
  <c r="DY220"/>
  <c r="DY221"/>
  <c r="DY222"/>
  <c r="DY223"/>
  <c r="DY224"/>
  <c r="DY225"/>
  <c r="DY226"/>
  <c r="DY227"/>
  <c r="DY228"/>
  <c r="DY229"/>
  <c r="DY230"/>
  <c r="DY231"/>
  <c r="DY232"/>
  <c r="DY233"/>
  <c r="DY234"/>
  <c r="DY235"/>
  <c r="DY188"/>
  <c r="DY189"/>
  <c r="DY190"/>
  <c r="DY191"/>
  <c r="DY192"/>
  <c r="DY193"/>
  <c r="DY194"/>
  <c r="DY195"/>
  <c r="DY196"/>
  <c r="DY197"/>
  <c r="DY198"/>
  <c r="DY199"/>
  <c r="DY200"/>
  <c r="DY201"/>
  <c r="DY202"/>
  <c r="DY203"/>
  <c r="DY204"/>
  <c r="DY205"/>
  <c r="DY206"/>
  <c r="DY207"/>
  <c r="DY208"/>
  <c r="DY209"/>
  <c r="DY162"/>
  <c r="DY163"/>
  <c r="DY164"/>
  <c r="DY165"/>
  <c r="DY166"/>
  <c r="DY167"/>
  <c r="DY168"/>
  <c r="DY169"/>
  <c r="DY170"/>
  <c r="DY171"/>
  <c r="DY172"/>
  <c r="DY173"/>
  <c r="DY174"/>
  <c r="DY175"/>
  <c r="DY176"/>
  <c r="DY177"/>
  <c r="DY178"/>
  <c r="DY179"/>
  <c r="DY180"/>
  <c r="DY181"/>
  <c r="DY182"/>
  <c r="DY183"/>
  <c r="DY136"/>
  <c r="DY137"/>
  <c r="DY138"/>
  <c r="DY139"/>
  <c r="DY140"/>
  <c r="DY141"/>
  <c r="DY142"/>
  <c r="DY143"/>
  <c r="DY144"/>
  <c r="DY145"/>
  <c r="DY146"/>
  <c r="DY147"/>
  <c r="DY148"/>
  <c r="DY149"/>
  <c r="DY150"/>
  <c r="DY151"/>
  <c r="DY152"/>
  <c r="DY153"/>
  <c r="DY154"/>
  <c r="DY155"/>
  <c r="DY156"/>
  <c r="DY157"/>
  <c r="DY110"/>
  <c r="DY111"/>
  <c r="DY112"/>
  <c r="DY113"/>
  <c r="DY114"/>
  <c r="DY115"/>
  <c r="DY116"/>
  <c r="DY117"/>
  <c r="DY118"/>
  <c r="DY119"/>
  <c r="DY120"/>
  <c r="DY121"/>
  <c r="DY122"/>
  <c r="DY123"/>
  <c r="DY124"/>
  <c r="DY125"/>
  <c r="DY126"/>
  <c r="DY127"/>
  <c r="DY128"/>
  <c r="DY129"/>
  <c r="DY130"/>
  <c r="DY131"/>
  <c r="DY84"/>
  <c r="DY85"/>
  <c r="DY86"/>
  <c r="DY87"/>
  <c r="DY88"/>
  <c r="DY89"/>
  <c r="DY90"/>
  <c r="DY91"/>
  <c r="DY92"/>
  <c r="DY93"/>
  <c r="DY94"/>
  <c r="DY95"/>
  <c r="DY96"/>
  <c r="DY97"/>
  <c r="DY98"/>
  <c r="DY99"/>
  <c r="DY100"/>
  <c r="DY101"/>
  <c r="DY102"/>
  <c r="DY103"/>
  <c r="DY104"/>
  <c r="DY105"/>
  <c r="DY59"/>
  <c r="DY60"/>
  <c r="DY61"/>
  <c r="DY62"/>
  <c r="DY63"/>
  <c r="DY64"/>
  <c r="DY65"/>
  <c r="DY66"/>
  <c r="DY67"/>
  <c r="DY68"/>
  <c r="DY69"/>
  <c r="DY70"/>
  <c r="DY71"/>
  <c r="DY72"/>
  <c r="DY73"/>
  <c r="DY74"/>
  <c r="DY75"/>
  <c r="DY76"/>
  <c r="DY77"/>
  <c r="DY78"/>
  <c r="DY79"/>
  <c r="DY32"/>
  <c r="DY33"/>
  <c r="DY34"/>
  <c r="DY35"/>
  <c r="DY36"/>
  <c r="DY37"/>
  <c r="DY38"/>
  <c r="DY39"/>
  <c r="DY40"/>
  <c r="DY41"/>
  <c r="DY42"/>
  <c r="DY43"/>
  <c r="DY44"/>
  <c r="DY45"/>
  <c r="DY46"/>
  <c r="DY47"/>
  <c r="DY48"/>
  <c r="DY49"/>
  <c r="DY50"/>
  <c r="DY51"/>
  <c r="DY52"/>
  <c r="DY53"/>
  <c r="DY6"/>
  <c r="DY7"/>
  <c r="DY8"/>
  <c r="DY9"/>
  <c r="DY10"/>
  <c r="DY11"/>
  <c r="DY12"/>
  <c r="DY13"/>
  <c r="DY14"/>
  <c r="DY15"/>
  <c r="DY16"/>
  <c r="DY17"/>
  <c r="DY18"/>
  <c r="DY19"/>
  <c r="DY20"/>
  <c r="DY21"/>
  <c r="DY22"/>
  <c r="DY23"/>
  <c r="DY24"/>
  <c r="DY25"/>
  <c r="DY26"/>
  <c r="DY27"/>
  <c r="DU58"/>
  <c r="DU57"/>
  <c r="DU55"/>
  <c r="DU54"/>
  <c r="DU51"/>
  <c r="DU50"/>
  <c r="DV394" s="1"/>
  <c r="DX394" s="1"/>
  <c r="DZ394" s="1"/>
  <c r="EB48" s="1"/>
  <c r="DU49"/>
  <c r="DU46"/>
  <c r="DU45"/>
  <c r="DU43"/>
  <c r="DU40"/>
  <c r="DU34"/>
  <c r="DU33"/>
  <c r="DU31"/>
  <c r="DU30"/>
  <c r="DU29"/>
  <c r="DU28"/>
  <c r="DU27"/>
  <c r="DU22"/>
  <c r="DU16"/>
  <c r="DU15"/>
  <c r="DU13"/>
  <c r="DU10"/>
  <c r="DU7"/>
  <c r="DU6"/>
  <c r="DU4"/>
  <c r="DV6" s="1"/>
  <c r="DX6" s="1"/>
  <c r="DZ6" s="1"/>
  <c r="EB3" s="1"/>
  <c r="AU12" i="4"/>
  <c r="AU13"/>
  <c r="AU14"/>
  <c r="AU15"/>
  <c r="AU16"/>
  <c r="AU17"/>
  <c r="AU18"/>
  <c r="AU19"/>
  <c r="AU20"/>
  <c r="AU21"/>
  <c r="AU22"/>
  <c r="AU23"/>
  <c r="AU24"/>
  <c r="AU25"/>
  <c r="AU26"/>
  <c r="AU27"/>
  <c r="AU28"/>
  <c r="AU29"/>
  <c r="AU30"/>
  <c r="AU31"/>
  <c r="AU32"/>
  <c r="AU33"/>
  <c r="AU34"/>
  <c r="AU35"/>
  <c r="AV35"/>
  <c r="AH2"/>
  <c r="W3"/>
  <c r="DI3" i="2"/>
  <c r="DJ3"/>
  <c r="DI2"/>
  <c r="DJ2"/>
  <c r="DI4"/>
  <c r="DJ4"/>
  <c r="AL45" i="1"/>
  <c r="AL44"/>
  <c r="AL42"/>
  <c r="AL41"/>
  <c r="AL40"/>
  <c r="AL39"/>
  <c r="AL38"/>
  <c r="AL31"/>
  <c r="AL35"/>
  <c r="AL33"/>
  <c r="AL29"/>
  <c r="AM35"/>
  <c r="AM31"/>
  <c r="DR2" i="2"/>
  <c r="DR3"/>
  <c r="DR4"/>
  <c r="DR5"/>
  <c r="DR6"/>
  <c r="DR7"/>
  <c r="DR8"/>
  <c r="DR9"/>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DR49"/>
  <c r="DR50"/>
  <c r="DR51"/>
  <c r="DR52"/>
  <c r="DR53"/>
  <c r="DR54"/>
  <c r="DR55"/>
  <c r="DR56"/>
  <c r="DR57"/>
  <c r="DR58"/>
  <c r="DR59"/>
  <c r="DR60"/>
  <c r="DR61"/>
  <c r="DR62"/>
  <c r="DR63"/>
  <c r="DR64"/>
  <c r="DR65"/>
  <c r="DR66"/>
  <c r="DR67"/>
  <c r="DR68"/>
  <c r="DR69"/>
  <c r="DR70"/>
  <c r="DR71"/>
  <c r="DR72"/>
  <c r="DR73"/>
  <c r="DR74"/>
  <c r="DR75"/>
  <c r="DR76"/>
  <c r="DR77"/>
  <c r="DR78"/>
  <c r="DR79"/>
  <c r="DR80"/>
  <c r="DR81"/>
  <c r="DR82"/>
  <c r="DR83"/>
  <c r="DR84"/>
  <c r="DR85"/>
  <c r="DR86"/>
  <c r="DR87"/>
  <c r="DR88"/>
  <c r="DR89"/>
  <c r="DR90"/>
  <c r="DR91"/>
  <c r="DR92"/>
  <c r="DR93"/>
  <c r="DR94"/>
  <c r="DR95"/>
  <c r="DR96"/>
  <c r="DR97"/>
  <c r="DR98"/>
  <c r="DR99"/>
  <c r="DR100"/>
  <c r="DR101"/>
  <c r="DR102"/>
  <c r="DR103"/>
  <c r="DR104"/>
  <c r="DR105"/>
  <c r="DR106"/>
  <c r="DR107"/>
  <c r="DR108"/>
  <c r="DR109"/>
  <c r="DR110"/>
  <c r="DR111"/>
  <c r="DR112"/>
  <c r="DR113"/>
  <c r="DR114"/>
  <c r="DR115"/>
  <c r="DR116"/>
  <c r="DR117"/>
  <c r="DR118"/>
  <c r="DR119"/>
  <c r="DR120"/>
  <c r="DR121"/>
  <c r="DR122"/>
  <c r="DR123"/>
  <c r="DR124"/>
  <c r="DR125"/>
  <c r="DR126"/>
  <c r="DR127"/>
  <c r="DR128"/>
  <c r="DR129"/>
  <c r="DR130"/>
  <c r="DR131"/>
  <c r="DR132"/>
  <c r="DR133"/>
  <c r="DR134"/>
  <c r="DR135"/>
  <c r="DR136"/>
  <c r="DR137"/>
  <c r="DR138"/>
  <c r="DR139"/>
  <c r="DR140"/>
  <c r="DR141"/>
  <c r="DR142"/>
  <c r="DR143"/>
  <c r="DR144"/>
  <c r="DR145"/>
  <c r="DR146"/>
  <c r="DR147"/>
  <c r="DR148"/>
  <c r="DR149"/>
  <c r="DR150"/>
  <c r="DR151"/>
  <c r="DR152"/>
  <c r="DR153"/>
  <c r="DR154"/>
  <c r="DR155"/>
  <c r="DR156"/>
  <c r="DR157"/>
  <c r="DR158"/>
  <c r="DR159"/>
  <c r="DR160"/>
  <c r="DR161"/>
  <c r="DR162"/>
  <c r="DR163"/>
  <c r="DR164"/>
  <c r="DR165"/>
  <c r="DR166"/>
  <c r="DR167"/>
  <c r="DR168"/>
  <c r="DR169"/>
  <c r="DR170"/>
  <c r="DR171"/>
  <c r="DR172"/>
  <c r="DR173"/>
  <c r="DR174"/>
  <c r="DR175"/>
  <c r="DR176"/>
  <c r="DR177"/>
  <c r="DR178"/>
  <c r="DR179"/>
  <c r="DR180"/>
  <c r="DR181"/>
  <c r="DR182"/>
  <c r="DR183"/>
  <c r="DR184"/>
  <c r="DR185"/>
  <c r="DR186"/>
  <c r="DR187"/>
  <c r="DR188"/>
  <c r="DR189"/>
  <c r="DR190"/>
  <c r="DR191"/>
  <c r="DR192"/>
  <c r="DR193"/>
  <c r="DR194"/>
  <c r="DR195"/>
  <c r="DR196"/>
  <c r="DR197"/>
  <c r="DR198"/>
  <c r="DR199"/>
  <c r="DR200"/>
  <c r="DR201"/>
  <c r="DR202"/>
  <c r="DR203"/>
  <c r="DR204"/>
  <c r="DR205"/>
  <c r="DR206"/>
  <c r="DR207"/>
  <c r="DR208"/>
  <c r="DR209"/>
  <c r="DR210"/>
  <c r="DR211"/>
  <c r="DR212"/>
  <c r="DR213"/>
  <c r="DR214"/>
  <c r="DR215"/>
  <c r="DR216"/>
  <c r="DR217"/>
  <c r="DR218"/>
  <c r="DR219"/>
  <c r="DR220"/>
  <c r="DR221"/>
  <c r="DR222"/>
  <c r="DR223"/>
  <c r="DR224"/>
  <c r="DR225"/>
  <c r="DR226"/>
  <c r="DR227"/>
  <c r="DR228"/>
  <c r="DR229"/>
  <c r="DR230"/>
  <c r="DR231"/>
  <c r="DR232"/>
  <c r="DR233"/>
  <c r="DR234"/>
  <c r="DR235"/>
  <c r="DR236"/>
  <c r="DR237"/>
  <c r="DR238"/>
  <c r="DR239"/>
  <c r="DR240"/>
  <c r="DR241"/>
  <c r="DR242"/>
  <c r="DR243"/>
  <c r="DR244"/>
  <c r="DR245"/>
  <c r="DR246"/>
  <c r="DR247"/>
  <c r="DR248"/>
  <c r="DR249"/>
  <c r="DR250"/>
  <c r="DR251"/>
  <c r="DR252"/>
  <c r="DR253"/>
  <c r="DR254"/>
  <c r="DR255"/>
  <c r="DR256"/>
  <c r="DR257"/>
  <c r="DR258"/>
  <c r="DR259"/>
  <c r="DR260"/>
  <c r="DR261"/>
  <c r="DR262"/>
  <c r="DR263"/>
  <c r="DR264"/>
  <c r="DR265"/>
  <c r="DR266"/>
  <c r="DR267"/>
  <c r="DR268"/>
  <c r="DR269"/>
  <c r="DR270"/>
  <c r="DR271"/>
  <c r="DR272"/>
  <c r="DR273"/>
  <c r="DR274"/>
  <c r="DR275"/>
  <c r="DR276"/>
  <c r="DR277"/>
  <c r="DR278"/>
  <c r="DR279"/>
  <c r="DR280"/>
  <c r="DR281"/>
  <c r="DR282"/>
  <c r="DR283"/>
  <c r="DR284"/>
  <c r="DR285"/>
  <c r="DR286"/>
  <c r="DR287"/>
  <c r="DR288"/>
  <c r="DR289"/>
  <c r="DR290"/>
  <c r="DR291"/>
  <c r="DR292"/>
  <c r="DR293"/>
  <c r="DR294"/>
  <c r="DR295"/>
  <c r="DR296"/>
  <c r="DR297"/>
  <c r="DR298"/>
  <c r="DR299"/>
  <c r="DR300"/>
  <c r="DR301"/>
  <c r="DR302"/>
  <c r="DR303"/>
  <c r="DR304"/>
  <c r="DR305"/>
  <c r="DR306"/>
  <c r="DR307"/>
  <c r="DR308"/>
  <c r="DR309"/>
  <c r="DR310"/>
  <c r="DR311"/>
  <c r="DR312"/>
  <c r="DR313"/>
  <c r="DR314"/>
  <c r="DR315"/>
  <c r="DR316"/>
  <c r="DR317"/>
  <c r="DR318"/>
  <c r="DR319"/>
  <c r="DR320"/>
  <c r="DR321"/>
  <c r="DR322"/>
  <c r="DR323"/>
  <c r="DR324"/>
  <c r="DR325"/>
  <c r="DR326"/>
  <c r="DR327"/>
  <c r="DR328"/>
  <c r="DR329"/>
  <c r="DR330"/>
  <c r="DR331"/>
  <c r="DR332"/>
  <c r="DR333"/>
  <c r="DR334"/>
  <c r="DR335"/>
  <c r="DR336"/>
  <c r="DR337"/>
  <c r="DR338"/>
  <c r="DR339"/>
  <c r="DR340"/>
  <c r="DR341"/>
  <c r="DR342"/>
  <c r="DR343"/>
  <c r="DR344"/>
  <c r="DR345"/>
  <c r="DR346"/>
  <c r="DR347"/>
  <c r="DR348"/>
  <c r="DR349"/>
  <c r="DR350"/>
  <c r="DR351"/>
  <c r="DR352"/>
  <c r="DR353"/>
  <c r="DR354"/>
  <c r="DR355"/>
  <c r="DR356"/>
  <c r="DR357"/>
  <c r="DR358"/>
  <c r="DR359"/>
  <c r="DR360"/>
  <c r="DR361"/>
  <c r="DR362"/>
  <c r="DR363"/>
  <c r="DR364"/>
  <c r="DR365"/>
  <c r="DR366"/>
  <c r="DR367"/>
  <c r="DR368"/>
  <c r="DR369"/>
  <c r="DR370"/>
  <c r="DR371"/>
  <c r="DR372"/>
  <c r="DR373"/>
  <c r="DR374"/>
  <c r="DR375"/>
  <c r="DR376"/>
  <c r="DR377"/>
  <c r="DR378"/>
  <c r="DR379"/>
  <c r="DR380"/>
  <c r="DR381"/>
  <c r="DR382"/>
  <c r="DR383"/>
  <c r="DR384"/>
  <c r="DR385"/>
  <c r="DR386"/>
  <c r="DR387"/>
  <c r="DR388"/>
  <c r="DR389"/>
  <c r="DR390"/>
  <c r="DR391"/>
  <c r="DR392"/>
  <c r="DR393"/>
  <c r="DR394"/>
  <c r="DR395"/>
  <c r="DR396"/>
  <c r="DR397"/>
  <c r="DR398"/>
  <c r="DR399"/>
  <c r="DR400"/>
  <c r="DR401"/>
  <c r="DR402"/>
  <c r="DR403"/>
  <c r="DR404"/>
  <c r="DR405"/>
  <c r="DR406"/>
  <c r="DR407"/>
  <c r="DR408"/>
  <c r="DR409"/>
  <c r="DR410"/>
  <c r="DR411"/>
  <c r="DR412"/>
  <c r="DR413"/>
  <c r="DR414"/>
  <c r="DR415"/>
  <c r="DR416"/>
  <c r="DR417"/>
  <c r="DR418"/>
  <c r="DR419"/>
  <c r="DR420"/>
  <c r="DR421"/>
  <c r="DR422"/>
  <c r="DR423"/>
  <c r="DR424"/>
  <c r="DR425"/>
  <c r="DR426"/>
  <c r="DR427"/>
  <c r="DR428"/>
  <c r="DR429"/>
  <c r="DR430"/>
  <c r="DR431"/>
  <c r="DR432"/>
  <c r="DR433"/>
  <c r="DR434"/>
  <c r="DR435"/>
  <c r="DR436"/>
  <c r="DR437"/>
  <c r="DR438"/>
  <c r="DR439"/>
  <c r="DR440"/>
  <c r="DR441"/>
  <c r="DR442"/>
  <c r="DR443"/>
  <c r="DR444"/>
  <c r="DR445"/>
  <c r="DR446"/>
  <c r="DR447"/>
  <c r="DR448"/>
  <c r="DR449"/>
  <c r="DR450"/>
  <c r="DR451"/>
  <c r="DR452"/>
  <c r="DR453"/>
  <c r="DR454"/>
  <c r="DR455"/>
  <c r="DR456"/>
  <c r="DR457"/>
  <c r="DR458"/>
  <c r="DR459"/>
  <c r="DR460"/>
  <c r="DR461"/>
  <c r="DR462"/>
  <c r="DR463"/>
  <c r="DR464"/>
  <c r="DR465"/>
  <c r="DR466"/>
  <c r="DR467"/>
  <c r="DR468"/>
  <c r="DR469"/>
  <c r="DR1"/>
  <c r="DS1"/>
  <c r="DS114"/>
  <c r="DS113"/>
  <c r="DS112"/>
  <c r="DS111"/>
  <c r="DS110"/>
  <c r="DS109"/>
  <c r="DS108"/>
  <c r="DS107"/>
  <c r="DS106"/>
  <c r="DS105"/>
  <c r="DS104"/>
  <c r="DS103"/>
  <c r="DS102"/>
  <c r="DS101"/>
  <c r="DS100"/>
  <c r="DS99"/>
  <c r="DS98"/>
  <c r="DS97"/>
  <c r="DS96"/>
  <c r="DS95"/>
  <c r="DS94"/>
  <c r="DS93"/>
  <c r="DS92"/>
  <c r="DS91"/>
  <c r="DS90"/>
  <c r="DS89"/>
  <c r="DS88"/>
  <c r="DS87"/>
  <c r="DS86"/>
  <c r="DS85"/>
  <c r="DS84"/>
  <c r="DS83"/>
  <c r="DS82"/>
  <c r="DS81"/>
  <c r="DS80"/>
  <c r="DS79"/>
  <c r="DS78"/>
  <c r="DS77"/>
  <c r="DS76"/>
  <c r="DS75"/>
  <c r="DS74"/>
  <c r="DS73"/>
  <c r="DS72"/>
  <c r="DS71"/>
  <c r="DS70"/>
  <c r="DS69"/>
  <c r="DS68"/>
  <c r="DS67"/>
  <c r="DS66"/>
  <c r="DS65"/>
  <c r="DS64"/>
  <c r="DS63"/>
  <c r="DS62"/>
  <c r="DS61"/>
  <c r="DS60"/>
  <c r="DS59"/>
  <c r="DS58"/>
  <c r="DS57"/>
  <c r="DS56"/>
  <c r="DS55"/>
  <c r="DS54"/>
  <c r="DS53"/>
  <c r="DS52"/>
  <c r="DS51"/>
  <c r="DS50"/>
  <c r="DS49"/>
  <c r="DS48"/>
  <c r="DS47"/>
  <c r="DS46"/>
  <c r="DS45"/>
  <c r="DS44"/>
  <c r="DS43"/>
  <c r="DS42"/>
  <c r="DS41"/>
  <c r="DS40"/>
  <c r="DS39"/>
  <c r="DS38"/>
  <c r="DS37"/>
  <c r="DS36"/>
  <c r="DS35"/>
  <c r="DS34"/>
  <c r="DS33"/>
  <c r="DS32"/>
  <c r="DS31"/>
  <c r="DS30"/>
  <c r="DS29"/>
  <c r="DS28"/>
  <c r="DS27"/>
  <c r="DS26"/>
  <c r="DS25"/>
  <c r="DS24"/>
  <c r="DS23"/>
  <c r="DS22"/>
  <c r="DS21"/>
  <c r="DS20"/>
  <c r="DS19"/>
  <c r="DS18"/>
  <c r="DS17"/>
  <c r="DS16"/>
  <c r="DS15"/>
  <c r="DS14"/>
  <c r="DS13"/>
  <c r="DS12"/>
  <c r="DS11"/>
  <c r="DS10"/>
  <c r="DS9"/>
  <c r="DS8"/>
  <c r="DS7"/>
  <c r="DS6"/>
  <c r="DS5"/>
  <c r="DS4"/>
  <c r="DS3"/>
  <c r="DS2"/>
  <c r="CJ227"/>
  <c r="P57" i="4"/>
  <c r="P56"/>
  <c r="P55"/>
  <c r="A49" i="2"/>
  <c r="A41"/>
  <c r="A42"/>
  <c r="A43"/>
  <c r="A44"/>
  <c r="A45"/>
  <c r="A46"/>
  <c r="A47"/>
  <c r="A48"/>
  <c r="G10"/>
  <c r="J10"/>
  <c r="AM5" i="4"/>
  <c r="D10" i="2"/>
  <c r="F10"/>
  <c r="Y114"/>
  <c r="Y113"/>
  <c r="Y112"/>
  <c r="Y111"/>
  <c r="Y110"/>
  <c r="Y109"/>
  <c r="Y108"/>
  <c r="Y107"/>
  <c r="Y106"/>
  <c r="Y105"/>
  <c r="Y104"/>
  <c r="Y103"/>
  <c r="Y102"/>
  <c r="Y101"/>
  <c r="Y100"/>
  <c r="Y95"/>
  <c r="AB114"/>
  <c r="AB113"/>
  <c r="AB112"/>
  <c r="AB111"/>
  <c r="AB110"/>
  <c r="AB109"/>
  <c r="AB108"/>
  <c r="AB107"/>
  <c r="AB106"/>
  <c r="AB105"/>
  <c r="AB104"/>
  <c r="AB103"/>
  <c r="AB102"/>
  <c r="AB101"/>
  <c r="AB100"/>
  <c r="AB94"/>
  <c r="AB66"/>
  <c r="AB64"/>
  <c r="AB63"/>
  <c r="AB59"/>
  <c r="AB58"/>
  <c r="AB57"/>
  <c r="AB56"/>
  <c r="AB43"/>
  <c r="AB42"/>
  <c r="AB41"/>
  <c r="A50"/>
  <c r="B50"/>
  <c r="A51"/>
  <c r="B51"/>
  <c r="A52"/>
  <c r="B52"/>
  <c r="A53"/>
  <c r="B53"/>
  <c r="A54"/>
  <c r="B54"/>
  <c r="A55"/>
  <c r="B55"/>
  <c r="A56"/>
  <c r="B56"/>
  <c r="A57"/>
  <c r="B57"/>
  <c r="A58"/>
  <c r="B58"/>
  <c r="A59"/>
  <c r="B59"/>
  <c r="A60"/>
  <c r="B60"/>
  <c r="A61"/>
  <c r="B61"/>
  <c r="A62"/>
  <c r="B62"/>
  <c r="A63"/>
  <c r="B63"/>
  <c r="A64"/>
  <c r="B64"/>
  <c r="A65"/>
  <c r="B65"/>
  <c r="A66"/>
  <c r="B66"/>
  <c r="J56" i="1"/>
  <c r="J57"/>
  <c r="T56"/>
  <c r="H114" i="2"/>
  <c r="H113"/>
  <c r="H112"/>
  <c r="H111"/>
  <c r="H110"/>
  <c r="H109"/>
  <c r="H108"/>
  <c r="H107"/>
  <c r="H106"/>
  <c r="H105"/>
  <c r="H104"/>
  <c r="H103"/>
  <c r="H102"/>
  <c r="H101"/>
  <c r="H100"/>
  <c r="A70"/>
  <c r="A69"/>
  <c r="I114"/>
  <c r="I113"/>
  <c r="I112"/>
  <c r="I111"/>
  <c r="I110"/>
  <c r="I109"/>
  <c r="I108"/>
  <c r="I107"/>
  <c r="I106"/>
  <c r="I105"/>
  <c r="I104"/>
  <c r="I103"/>
  <c r="I102"/>
  <c r="I101"/>
  <c r="I100"/>
  <c r="I99"/>
  <c r="C39"/>
  <c r="X114"/>
  <c r="X113"/>
  <c r="X112"/>
  <c r="X111"/>
  <c r="X110"/>
  <c r="X109"/>
  <c r="X108"/>
  <c r="X107"/>
  <c r="X106"/>
  <c r="X105"/>
  <c r="X104"/>
  <c r="X103"/>
  <c r="X102"/>
  <c r="X101"/>
  <c r="X100"/>
  <c r="X99"/>
  <c r="BI97"/>
  <c r="CA97"/>
  <c r="BP99"/>
  <c r="CD99"/>
  <c r="BA147"/>
  <c r="AW150"/>
  <c r="CB150"/>
  <c r="AQ151"/>
  <c r="CE152"/>
  <c r="A92"/>
  <c r="B92"/>
  <c r="A91"/>
  <c r="B91"/>
  <c r="A90"/>
  <c r="B90"/>
  <c r="A87"/>
  <c r="B87"/>
  <c r="A86"/>
  <c r="B86"/>
  <c r="A85"/>
  <c r="B85"/>
  <c r="A84"/>
  <c r="B84"/>
  <c r="A83"/>
  <c r="B83"/>
  <c r="A82"/>
  <c r="B82"/>
  <c r="A81"/>
  <c r="B81"/>
  <c r="A80"/>
  <c r="B80"/>
  <c r="A79"/>
  <c r="B79"/>
  <c r="A78"/>
  <c r="B78"/>
  <c r="A77"/>
  <c r="B77"/>
  <c r="A76"/>
  <c r="B76"/>
  <c r="A75"/>
  <c r="B75"/>
  <c r="A74"/>
  <c r="B74"/>
  <c r="A73"/>
  <c r="B73"/>
  <c r="A72"/>
  <c r="B72"/>
  <c r="A71"/>
  <c r="BP34"/>
  <c r="CC34"/>
  <c r="BP32"/>
  <c r="CC32"/>
  <c r="BP33"/>
  <c r="CC33"/>
  <c r="D8" i="1"/>
  <c r="BU33" i="2"/>
  <c r="CN319"/>
  <c r="CN325"/>
  <c r="CN324"/>
  <c r="CN323"/>
  <c r="CN322"/>
  <c r="CN321"/>
  <c r="CM236"/>
  <c r="CM237"/>
  <c r="CM238"/>
  <c r="CM239"/>
  <c r="CM240"/>
  <c r="CM241"/>
  <c r="CM242"/>
  <c r="CM243"/>
  <c r="CM244"/>
  <c r="CM245"/>
  <c r="CM246"/>
  <c r="CM247"/>
  <c r="CM249"/>
  <c r="CM250"/>
  <c r="CM251"/>
  <c r="CM252"/>
  <c r="CM253"/>
  <c r="CM254"/>
  <c r="CM255"/>
  <c r="CM256"/>
  <c r="CM257"/>
  <c r="CM258"/>
  <c r="CM259"/>
  <c r="CM260"/>
  <c r="CM261"/>
  <c r="CM262"/>
  <c r="CM263"/>
  <c r="CM264"/>
  <c r="CM265"/>
  <c r="CM266"/>
  <c r="CM267"/>
  <c r="CM268"/>
  <c r="CM269"/>
  <c r="CM270"/>
  <c r="CM271"/>
  <c r="CM272"/>
  <c r="CM273"/>
  <c r="CM274"/>
  <c r="CM275"/>
  <c r="CM276"/>
  <c r="CM277"/>
  <c r="CM278"/>
  <c r="CM279"/>
  <c r="CM280"/>
  <c r="CM281"/>
  <c r="CM282"/>
  <c r="CM283"/>
  <c r="CM284"/>
  <c r="CM285"/>
  <c r="CM286"/>
  <c r="CM287"/>
  <c r="CM288"/>
  <c r="CM289"/>
  <c r="CM290"/>
  <c r="CM291"/>
  <c r="CM292"/>
  <c r="CM293"/>
  <c r="CM294"/>
  <c r="CM295"/>
  <c r="CM296"/>
  <c r="CM297"/>
  <c r="CM298"/>
  <c r="CM299"/>
  <c r="CM300"/>
  <c r="CM301"/>
  <c r="CM302"/>
  <c r="CM303"/>
  <c r="CM304"/>
  <c r="CM305"/>
  <c r="CM306"/>
  <c r="CM307"/>
  <c r="CM308"/>
  <c r="CM309"/>
  <c r="CM310"/>
  <c r="CM311"/>
  <c r="CM312"/>
  <c r="CM313"/>
  <c r="CM314"/>
  <c r="CM315"/>
  <c r="CM316"/>
  <c r="CM317"/>
  <c r="CM318"/>
  <c r="CL325"/>
  <c r="CL324"/>
  <c r="CL323"/>
  <c r="CL322"/>
  <c r="CL321"/>
  <c r="CL320"/>
  <c r="CK236"/>
  <c r="CK237"/>
  <c r="CK238"/>
  <c r="CK239"/>
  <c r="CK240"/>
  <c r="CK241"/>
  <c r="CK242"/>
  <c r="CK243"/>
  <c r="CK244"/>
  <c r="CK245"/>
  <c r="CK246"/>
  <c r="CK247"/>
  <c r="CK249"/>
  <c r="CK250"/>
  <c r="CK251"/>
  <c r="CK252"/>
  <c r="CK253"/>
  <c r="CK254"/>
  <c r="CK255"/>
  <c r="CK256"/>
  <c r="CK257"/>
  <c r="CK258"/>
  <c r="CK259"/>
  <c r="CK260"/>
  <c r="CK261"/>
  <c r="CK262"/>
  <c r="CK263"/>
  <c r="CK264"/>
  <c r="CK265"/>
  <c r="CK266"/>
  <c r="CK267"/>
  <c r="CK268"/>
  <c r="CK269"/>
  <c r="CK270"/>
  <c r="CK271"/>
  <c r="CK272"/>
  <c r="CK273"/>
  <c r="CK274"/>
  <c r="CK275"/>
  <c r="CK276"/>
  <c r="CK277"/>
  <c r="CK278"/>
  <c r="CK279"/>
  <c r="CK280"/>
  <c r="CK281"/>
  <c r="CK282"/>
  <c r="CK283"/>
  <c r="CK284"/>
  <c r="CK285"/>
  <c r="CK286"/>
  <c r="CK287"/>
  <c r="CK288"/>
  <c r="CK289"/>
  <c r="CK290"/>
  <c r="CK291"/>
  <c r="CK292"/>
  <c r="CK293"/>
  <c r="CK294"/>
  <c r="CK295"/>
  <c r="CK296"/>
  <c r="CK297"/>
  <c r="CK298"/>
  <c r="CK299"/>
  <c r="CK300"/>
  <c r="CK301"/>
  <c r="CK302"/>
  <c r="CK303"/>
  <c r="CK304"/>
  <c r="CK305"/>
  <c r="CK306"/>
  <c r="CK307"/>
  <c r="CK308"/>
  <c r="CK309"/>
  <c r="CK310"/>
  <c r="CK311"/>
  <c r="CK312"/>
  <c r="CK313"/>
  <c r="CK314"/>
  <c r="CK315"/>
  <c r="CK316"/>
  <c r="CK317"/>
  <c r="CK318"/>
  <c r="AK248"/>
  <c r="CZ244"/>
  <c r="CY239"/>
  <c r="CP149"/>
  <c r="CP148"/>
  <c r="CO14"/>
  <c r="CO37"/>
  <c r="CO53"/>
  <c r="CO59"/>
  <c r="CO61"/>
  <c r="CO65"/>
  <c r="CO71"/>
  <c r="CO123"/>
  <c r="CO146"/>
  <c r="CO147"/>
  <c r="CO2"/>
  <c r="CO4"/>
  <c r="CO7"/>
  <c r="CO8"/>
  <c r="CO9"/>
  <c r="CO10"/>
  <c r="CO15"/>
  <c r="CO35"/>
  <c r="CO38"/>
  <c r="CO39"/>
  <c r="CO40"/>
  <c r="CO41"/>
  <c r="CO42"/>
  <c r="CO43"/>
  <c r="CO44"/>
  <c r="CO54"/>
  <c r="CO55"/>
  <c r="CO56"/>
  <c r="CO57"/>
  <c r="CO62"/>
  <c r="CO63"/>
  <c r="CO66"/>
  <c r="CO67"/>
  <c r="CO68"/>
  <c r="CO72"/>
  <c r="CO73"/>
  <c r="CO74"/>
  <c r="CO75"/>
  <c r="CO76"/>
  <c r="CO77"/>
  <c r="CO79"/>
  <c r="CO88"/>
  <c r="CO89"/>
  <c r="CO90"/>
  <c r="CO96"/>
  <c r="CO98"/>
  <c r="CO101"/>
  <c r="CO102"/>
  <c r="CO103"/>
  <c r="CO104"/>
  <c r="CO115"/>
  <c r="CO120"/>
  <c r="CO122"/>
  <c r="CO124"/>
  <c r="CO125"/>
  <c r="CO126"/>
  <c r="CO127"/>
  <c r="CO128"/>
  <c r="CO129"/>
  <c r="CO130"/>
  <c r="CO131"/>
  <c r="CO132"/>
  <c r="CO133"/>
  <c r="CO134"/>
  <c r="CO135"/>
  <c r="CO136"/>
  <c r="CO137"/>
  <c r="CO138"/>
  <c r="CO139"/>
  <c r="CO140"/>
  <c r="CO141"/>
  <c r="CO142"/>
  <c r="CO149"/>
  <c r="CO153"/>
  <c r="CO154"/>
  <c r="CO155"/>
  <c r="CO156"/>
  <c r="CO157"/>
  <c r="CO158"/>
  <c r="CO159"/>
  <c r="CO160"/>
  <c r="CO161"/>
  <c r="CO162"/>
  <c r="CO163"/>
  <c r="CO164"/>
  <c r="CO165"/>
  <c r="CO166"/>
  <c r="CO167"/>
  <c r="CO168"/>
  <c r="CO169"/>
  <c r="CO170"/>
  <c r="CO171"/>
  <c r="CO172"/>
  <c r="CO173"/>
  <c r="CO174"/>
  <c r="CO175"/>
  <c r="CO176"/>
  <c r="CO177"/>
  <c r="CO178"/>
  <c r="CO179"/>
  <c r="CO180"/>
  <c r="CO181"/>
  <c r="CO182"/>
  <c r="CO183"/>
  <c r="CO184"/>
  <c r="CO185"/>
  <c r="CO186"/>
  <c r="CO187"/>
  <c r="CO188"/>
  <c r="CO189"/>
  <c r="CO190"/>
  <c r="CO191"/>
  <c r="CO192"/>
  <c r="CO193"/>
  <c r="CO194"/>
  <c r="CO195"/>
  <c r="CO196"/>
  <c r="CO197"/>
  <c r="CO198"/>
  <c r="CO199"/>
  <c r="CO200"/>
  <c r="CO201"/>
  <c r="CO202"/>
  <c r="CO203"/>
  <c r="CO204"/>
  <c r="CO205"/>
  <c r="CO206"/>
  <c r="CO207"/>
  <c r="CO208"/>
  <c r="CO209"/>
  <c r="CO210"/>
  <c r="CO211"/>
  <c r="CO212"/>
  <c r="CO213"/>
  <c r="CO214"/>
  <c r="CO215"/>
  <c r="CO216"/>
  <c r="CO217"/>
  <c r="CO218"/>
  <c r="CO219"/>
  <c r="CO220"/>
  <c r="CO221"/>
  <c r="CO222"/>
  <c r="CO223"/>
  <c r="CO224"/>
  <c r="CO225"/>
  <c r="CO226"/>
  <c r="CN150"/>
  <c r="CN148"/>
  <c r="CM14"/>
  <c r="CM37"/>
  <c r="CM53"/>
  <c r="CM59"/>
  <c r="CM61"/>
  <c r="CM65"/>
  <c r="CM71"/>
  <c r="CM123"/>
  <c r="CM146"/>
  <c r="CM147"/>
  <c r="CM2"/>
  <c r="CM4"/>
  <c r="CM7"/>
  <c r="CM8"/>
  <c r="CM9"/>
  <c r="CM10"/>
  <c r="CM15"/>
  <c r="CM35"/>
  <c r="CM38"/>
  <c r="CM39"/>
  <c r="CM40"/>
  <c r="CM41"/>
  <c r="CM42"/>
  <c r="CM43"/>
  <c r="CM44"/>
  <c r="CM54"/>
  <c r="CM55"/>
  <c r="CM56"/>
  <c r="CM57"/>
  <c r="CM62"/>
  <c r="CM63"/>
  <c r="CM66"/>
  <c r="CM67"/>
  <c r="CM68"/>
  <c r="CM72"/>
  <c r="CM73"/>
  <c r="CM74"/>
  <c r="CM75"/>
  <c r="CM76"/>
  <c r="CM77"/>
  <c r="CM79"/>
  <c r="CM88"/>
  <c r="CM89"/>
  <c r="CM90"/>
  <c r="CM96"/>
  <c r="CM98"/>
  <c r="CM101"/>
  <c r="CM102"/>
  <c r="CM103"/>
  <c r="CM104"/>
  <c r="CM115"/>
  <c r="CM120"/>
  <c r="CM122"/>
  <c r="CM124"/>
  <c r="CM125"/>
  <c r="CM126"/>
  <c r="CM127"/>
  <c r="CM128"/>
  <c r="CM129"/>
  <c r="CM130"/>
  <c r="CM131"/>
  <c r="CM132"/>
  <c r="CM133"/>
  <c r="CM134"/>
  <c r="CM135"/>
  <c r="CM136"/>
  <c r="CM137"/>
  <c r="CM138"/>
  <c r="CM139"/>
  <c r="CM140"/>
  <c r="CM141"/>
  <c r="CM142"/>
  <c r="CM149"/>
  <c r="CM153"/>
  <c r="CM154"/>
  <c r="CM155"/>
  <c r="CM156"/>
  <c r="CM157"/>
  <c r="CM158"/>
  <c r="CM159"/>
  <c r="CM160"/>
  <c r="CM161"/>
  <c r="CM162"/>
  <c r="CM163"/>
  <c r="CM164"/>
  <c r="CM165"/>
  <c r="CM166"/>
  <c r="CM167"/>
  <c r="CM168"/>
  <c r="CM169"/>
  <c r="CM170"/>
  <c r="CM171"/>
  <c r="CM172"/>
  <c r="CM173"/>
  <c r="CM174"/>
  <c r="CM175"/>
  <c r="CM176"/>
  <c r="CM177"/>
  <c r="CM178"/>
  <c r="CM179"/>
  <c r="CM180"/>
  <c r="CM181"/>
  <c r="CM182"/>
  <c r="CM183"/>
  <c r="CM184"/>
  <c r="CM185"/>
  <c r="CM186"/>
  <c r="CM187"/>
  <c r="CM188"/>
  <c r="CM189"/>
  <c r="CM190"/>
  <c r="CM191"/>
  <c r="CM192"/>
  <c r="CM193"/>
  <c r="CM194"/>
  <c r="CM195"/>
  <c r="CM196"/>
  <c r="CM197"/>
  <c r="CM198"/>
  <c r="CM199"/>
  <c r="CM200"/>
  <c r="CM201"/>
  <c r="CM202"/>
  <c r="CM203"/>
  <c r="CM204"/>
  <c r="CM205"/>
  <c r="CM206"/>
  <c r="CM207"/>
  <c r="CM208"/>
  <c r="CM209"/>
  <c r="CM210"/>
  <c r="CM211"/>
  <c r="CM212"/>
  <c r="CM213"/>
  <c r="CM214"/>
  <c r="CM215"/>
  <c r="CM216"/>
  <c r="CM217"/>
  <c r="CM218"/>
  <c r="CM219"/>
  <c r="CM220"/>
  <c r="CM221"/>
  <c r="CM222"/>
  <c r="CM223"/>
  <c r="CM224"/>
  <c r="CM225"/>
  <c r="CM226"/>
  <c r="CL150"/>
  <c r="CL149"/>
  <c r="CK14"/>
  <c r="CK37"/>
  <c r="CK53"/>
  <c r="CK59"/>
  <c r="CK61"/>
  <c r="CK65"/>
  <c r="CK71"/>
  <c r="CK123"/>
  <c r="CK146"/>
  <c r="CK147"/>
  <c r="CK2"/>
  <c r="CK4"/>
  <c r="CK7"/>
  <c r="CK8"/>
  <c r="CK9"/>
  <c r="CK10"/>
  <c r="CK15"/>
  <c r="CK35"/>
  <c r="CK38"/>
  <c r="CK39"/>
  <c r="CK40"/>
  <c r="CK41"/>
  <c r="CK42"/>
  <c r="CK43"/>
  <c r="CK44"/>
  <c r="CK54"/>
  <c r="CK55"/>
  <c r="CK56"/>
  <c r="CK57"/>
  <c r="CK62"/>
  <c r="CK63"/>
  <c r="CK66"/>
  <c r="CK67"/>
  <c r="CK68"/>
  <c r="CK72"/>
  <c r="CK73"/>
  <c r="CK74"/>
  <c r="CK75"/>
  <c r="CK76"/>
  <c r="CK77"/>
  <c r="CK79"/>
  <c r="CK88"/>
  <c r="CK89"/>
  <c r="CK90"/>
  <c r="CK96"/>
  <c r="CK98"/>
  <c r="CK101"/>
  <c r="CK102"/>
  <c r="CK103"/>
  <c r="CK104"/>
  <c r="CK115"/>
  <c r="CK120"/>
  <c r="CK122"/>
  <c r="CK124"/>
  <c r="CK125"/>
  <c r="CK126"/>
  <c r="CK127"/>
  <c r="CK128"/>
  <c r="CK129"/>
  <c r="CK130"/>
  <c r="CK131"/>
  <c r="CK132"/>
  <c r="CK133"/>
  <c r="CK134"/>
  <c r="CK135"/>
  <c r="CK136"/>
  <c r="CK137"/>
  <c r="CK138"/>
  <c r="CK139"/>
  <c r="CK140"/>
  <c r="CK141"/>
  <c r="CK142"/>
  <c r="CK149"/>
  <c r="CK153"/>
  <c r="CK154"/>
  <c r="CK155"/>
  <c r="CK156"/>
  <c r="CK157"/>
  <c r="CK158"/>
  <c r="CK159"/>
  <c r="CK160"/>
  <c r="CK161"/>
  <c r="CK162"/>
  <c r="CK163"/>
  <c r="CK164"/>
  <c r="CK165"/>
  <c r="CK166"/>
  <c r="CK167"/>
  <c r="CK168"/>
  <c r="CK169"/>
  <c r="CK170"/>
  <c r="CK171"/>
  <c r="CK172"/>
  <c r="CK173"/>
  <c r="CK174"/>
  <c r="CK175"/>
  <c r="CK176"/>
  <c r="CK177"/>
  <c r="CK178"/>
  <c r="CK179"/>
  <c r="CK180"/>
  <c r="CK181"/>
  <c r="CK182"/>
  <c r="CK183"/>
  <c r="CK184"/>
  <c r="CK185"/>
  <c r="CK186"/>
  <c r="CK187"/>
  <c r="CK188"/>
  <c r="CK189"/>
  <c r="CK190"/>
  <c r="CK191"/>
  <c r="CK192"/>
  <c r="CK193"/>
  <c r="CK194"/>
  <c r="CK195"/>
  <c r="CK196"/>
  <c r="CK197"/>
  <c r="CK198"/>
  <c r="CK199"/>
  <c r="CK200"/>
  <c r="CK201"/>
  <c r="CK202"/>
  <c r="CK203"/>
  <c r="CK204"/>
  <c r="CK205"/>
  <c r="CK206"/>
  <c r="CK207"/>
  <c r="CK208"/>
  <c r="CK209"/>
  <c r="CK210"/>
  <c r="CK211"/>
  <c r="CK212"/>
  <c r="CK213"/>
  <c r="CK214"/>
  <c r="CK215"/>
  <c r="CK216"/>
  <c r="CK217"/>
  <c r="CK218"/>
  <c r="CK219"/>
  <c r="CK220"/>
  <c r="CK221"/>
  <c r="CK222"/>
  <c r="CK223"/>
  <c r="CK224"/>
  <c r="CK225"/>
  <c r="CK226"/>
  <c r="AD28"/>
  <c r="AC28"/>
  <c r="AB28"/>
  <c r="AA28"/>
  <c r="Z28"/>
  <c r="Y28"/>
  <c r="X28"/>
  <c r="W28"/>
  <c r="V28"/>
  <c r="U28"/>
  <c r="T28"/>
  <c r="S28"/>
  <c r="R28"/>
  <c r="Q28"/>
  <c r="P28"/>
  <c r="O28"/>
  <c r="N28"/>
  <c r="M28"/>
  <c r="L28"/>
  <c r="CM248"/>
  <c r="CN235"/>
  <c r="CN326"/>
  <c r="CK248"/>
  <c r="CL235"/>
  <c r="CL326"/>
  <c r="J12"/>
  <c r="J13"/>
  <c r="CX318"/>
  <c r="CX317"/>
  <c r="CX316"/>
  <c r="CX315"/>
  <c r="CX314"/>
  <c r="CX313"/>
  <c r="CX312"/>
  <c r="CX311"/>
  <c r="CX310"/>
  <c r="CX309"/>
  <c r="CX308"/>
  <c r="CX307"/>
  <c r="CX306"/>
  <c r="CX305"/>
  <c r="CX304"/>
  <c r="CX303"/>
  <c r="CX302"/>
  <c r="CX301"/>
  <c r="CX300"/>
  <c r="CX299"/>
  <c r="CX298"/>
  <c r="CX297"/>
  <c r="CX296"/>
  <c r="CX295"/>
  <c r="CX294"/>
  <c r="CX293"/>
  <c r="CX292"/>
  <c r="CX291"/>
  <c r="CX290"/>
  <c r="CX289"/>
  <c r="CX288"/>
  <c r="CX287"/>
  <c r="CX286"/>
  <c r="CX285"/>
  <c r="CX284"/>
  <c r="CX283"/>
  <c r="CX282"/>
  <c r="CX281"/>
  <c r="CX280"/>
  <c r="CX279"/>
  <c r="CX278"/>
  <c r="CX277"/>
  <c r="CX276"/>
  <c r="CX275"/>
  <c r="CX274"/>
  <c r="CX273"/>
  <c r="CX272"/>
  <c r="CX271"/>
  <c r="CX270"/>
  <c r="CX269"/>
  <c r="CX268"/>
  <c r="CX267"/>
  <c r="CX266"/>
  <c r="CX265"/>
  <c r="CX264"/>
  <c r="CX263"/>
  <c r="CX262"/>
  <c r="CX261"/>
  <c r="CX260"/>
  <c r="CX259"/>
  <c r="CX258"/>
  <c r="CX257"/>
  <c r="CX256"/>
  <c r="CX255"/>
  <c r="CX254"/>
  <c r="CX253"/>
  <c r="CX252"/>
  <c r="CX251"/>
  <c r="CX250"/>
  <c r="CX249"/>
  <c r="CX248"/>
  <c r="CX247"/>
  <c r="CX246"/>
  <c r="CX245"/>
  <c r="CX244"/>
  <c r="CX243"/>
  <c r="CX242"/>
  <c r="CX241"/>
  <c r="CX240"/>
  <c r="CX239"/>
  <c r="CX238"/>
  <c r="CX237"/>
  <c r="CX236"/>
  <c r="CV318"/>
  <c r="CV317"/>
  <c r="CV316"/>
  <c r="CV315"/>
  <c r="CV314"/>
  <c r="CV313"/>
  <c r="CV312"/>
  <c r="CV311"/>
  <c r="CV310"/>
  <c r="CV309"/>
  <c r="CV308"/>
  <c r="CV307"/>
  <c r="CV306"/>
  <c r="CV305"/>
  <c r="CV304"/>
  <c r="CV303"/>
  <c r="CV302"/>
  <c r="CV301"/>
  <c r="CV300"/>
  <c r="CV299"/>
  <c r="CV298"/>
  <c r="CV297"/>
  <c r="CV296"/>
  <c r="CV295"/>
  <c r="CV294"/>
  <c r="CV293"/>
  <c r="CV292"/>
  <c r="CV291"/>
  <c r="CV290"/>
  <c r="CV289"/>
  <c r="CV288"/>
  <c r="CV287"/>
  <c r="CV286"/>
  <c r="CV285"/>
  <c r="CV284"/>
  <c r="CV283"/>
  <c r="CV282"/>
  <c r="CV281"/>
  <c r="CV280"/>
  <c r="CV279"/>
  <c r="CV278"/>
  <c r="CV277"/>
  <c r="CV276"/>
  <c r="CV275"/>
  <c r="CV274"/>
  <c r="CV273"/>
  <c r="CV272"/>
  <c r="CV271"/>
  <c r="CV270"/>
  <c r="CV269"/>
  <c r="CV268"/>
  <c r="CV267"/>
  <c r="CV266"/>
  <c r="CV265"/>
  <c r="CV264"/>
  <c r="CV263"/>
  <c r="CV262"/>
  <c r="CV261"/>
  <c r="CV260"/>
  <c r="CV259"/>
  <c r="CV258"/>
  <c r="CV257"/>
  <c r="CV256"/>
  <c r="CV255"/>
  <c r="CV254"/>
  <c r="CV253"/>
  <c r="CV252"/>
  <c r="CV251"/>
  <c r="CV250"/>
  <c r="CV249"/>
  <c r="CV248"/>
  <c r="CV247"/>
  <c r="CV246"/>
  <c r="CV245"/>
  <c r="CV244"/>
  <c r="CV243"/>
  <c r="CV242"/>
  <c r="CV241"/>
  <c r="CV240"/>
  <c r="CV239"/>
  <c r="CV238"/>
  <c r="CV237"/>
  <c r="CV236"/>
  <c r="CT318"/>
  <c r="CT317"/>
  <c r="CT316"/>
  <c r="CT315"/>
  <c r="CT314"/>
  <c r="CT313"/>
  <c r="CT312"/>
  <c r="CT311"/>
  <c r="CT310"/>
  <c r="CT309"/>
  <c r="CT308"/>
  <c r="CT307"/>
  <c r="CT306"/>
  <c r="CT305"/>
  <c r="CT304"/>
  <c r="CT303"/>
  <c r="CT302"/>
  <c r="CT301"/>
  <c r="CT300"/>
  <c r="CT299"/>
  <c r="CT298"/>
  <c r="CT297"/>
  <c r="CT296"/>
  <c r="CT295"/>
  <c r="CT294"/>
  <c r="CT293"/>
  <c r="CT292"/>
  <c r="CT291"/>
  <c r="CT290"/>
  <c r="CT289"/>
  <c r="CT288"/>
  <c r="CT287"/>
  <c r="CT286"/>
  <c r="CT285"/>
  <c r="CT284"/>
  <c r="CT283"/>
  <c r="CT282"/>
  <c r="CT281"/>
  <c r="CT280"/>
  <c r="CT279"/>
  <c r="CT278"/>
  <c r="CT277"/>
  <c r="CT276"/>
  <c r="CT275"/>
  <c r="CT274"/>
  <c r="CT273"/>
  <c r="CT272"/>
  <c r="CT271"/>
  <c r="CT270"/>
  <c r="CT269"/>
  <c r="CT268"/>
  <c r="CT267"/>
  <c r="CT266"/>
  <c r="CT265"/>
  <c r="CT264"/>
  <c r="CT263"/>
  <c r="CT262"/>
  <c r="CT261"/>
  <c r="CT260"/>
  <c r="CT259"/>
  <c r="CT258"/>
  <c r="CT257"/>
  <c r="CT256"/>
  <c r="CT255"/>
  <c r="CT254"/>
  <c r="CT253"/>
  <c r="CT252"/>
  <c r="CT251"/>
  <c r="CT250"/>
  <c r="CT249"/>
  <c r="CT248"/>
  <c r="CT247"/>
  <c r="CT246"/>
  <c r="CT245"/>
  <c r="CT244"/>
  <c r="CT243"/>
  <c r="CT242"/>
  <c r="CT241"/>
  <c r="CT240"/>
  <c r="CT239"/>
  <c r="CT238"/>
  <c r="CT237"/>
  <c r="CT236"/>
  <c r="CR318"/>
  <c r="CR317"/>
  <c r="CR316"/>
  <c r="CR315"/>
  <c r="CR314"/>
  <c r="CR313"/>
  <c r="CR312"/>
  <c r="CR311"/>
  <c r="CR310"/>
  <c r="CR309"/>
  <c r="CR308"/>
  <c r="CR307"/>
  <c r="CR306"/>
  <c r="CR305"/>
  <c r="CR304"/>
  <c r="CR303"/>
  <c r="CR302"/>
  <c r="CR301"/>
  <c r="CR300"/>
  <c r="CR299"/>
  <c r="CR298"/>
  <c r="CR297"/>
  <c r="CR296"/>
  <c r="CR295"/>
  <c r="CR294"/>
  <c r="CR293"/>
  <c r="CR292"/>
  <c r="CR291"/>
  <c r="CR290"/>
  <c r="CR289"/>
  <c r="CR288"/>
  <c r="CR287"/>
  <c r="CR286"/>
  <c r="CR285"/>
  <c r="CR284"/>
  <c r="CR283"/>
  <c r="CR282"/>
  <c r="CR281"/>
  <c r="CR280"/>
  <c r="CR279"/>
  <c r="CR278"/>
  <c r="CR277"/>
  <c r="CR276"/>
  <c r="CR275"/>
  <c r="CR274"/>
  <c r="CR273"/>
  <c r="CR272"/>
  <c r="CR271"/>
  <c r="CR270"/>
  <c r="CR269"/>
  <c r="CR268"/>
  <c r="CR267"/>
  <c r="CR266"/>
  <c r="CR265"/>
  <c r="CR264"/>
  <c r="CR263"/>
  <c r="CR262"/>
  <c r="CR261"/>
  <c r="CR260"/>
  <c r="CR259"/>
  <c r="CR258"/>
  <c r="CR257"/>
  <c r="CR256"/>
  <c r="CR255"/>
  <c r="CR254"/>
  <c r="CR253"/>
  <c r="CR252"/>
  <c r="CR251"/>
  <c r="CR250"/>
  <c r="CR249"/>
  <c r="CR248"/>
  <c r="CR247"/>
  <c r="CR246"/>
  <c r="CR245"/>
  <c r="CR244"/>
  <c r="CR243"/>
  <c r="CR242"/>
  <c r="CR241"/>
  <c r="CR240"/>
  <c r="CR239"/>
  <c r="CR238"/>
  <c r="CR237"/>
  <c r="CR236"/>
  <c r="CP318"/>
  <c r="CP317"/>
  <c r="CP316"/>
  <c r="CP315"/>
  <c r="CP314"/>
  <c r="CP313"/>
  <c r="CP312"/>
  <c r="CP311"/>
  <c r="CP310"/>
  <c r="CP309"/>
  <c r="CP308"/>
  <c r="CP307"/>
  <c r="CP306"/>
  <c r="CP305"/>
  <c r="CP304"/>
  <c r="CP303"/>
  <c r="CP302"/>
  <c r="CP301"/>
  <c r="CP300"/>
  <c r="CP299"/>
  <c r="CP298"/>
  <c r="CP297"/>
  <c r="CP296"/>
  <c r="CP295"/>
  <c r="CP294"/>
  <c r="CP293"/>
  <c r="CP292"/>
  <c r="CP291"/>
  <c r="CP290"/>
  <c r="CP289"/>
  <c r="CP288"/>
  <c r="CP287"/>
  <c r="CP286"/>
  <c r="CP285"/>
  <c r="CP284"/>
  <c r="CP283"/>
  <c r="CP282"/>
  <c r="CP281"/>
  <c r="CP280"/>
  <c r="CP279"/>
  <c r="CP278"/>
  <c r="CP277"/>
  <c r="CP276"/>
  <c r="CP275"/>
  <c r="CP274"/>
  <c r="CP273"/>
  <c r="CP272"/>
  <c r="CP271"/>
  <c r="CP270"/>
  <c r="CP269"/>
  <c r="CP268"/>
  <c r="CP267"/>
  <c r="CP266"/>
  <c r="CP265"/>
  <c r="CP264"/>
  <c r="CP263"/>
  <c r="CP262"/>
  <c r="CP261"/>
  <c r="CP260"/>
  <c r="CP259"/>
  <c r="CP258"/>
  <c r="CP257"/>
  <c r="CP256"/>
  <c r="CP255"/>
  <c r="CP254"/>
  <c r="CP253"/>
  <c r="CP252"/>
  <c r="CP251"/>
  <c r="CP250"/>
  <c r="CP249"/>
  <c r="CP248"/>
  <c r="CP247"/>
  <c r="CP246"/>
  <c r="CP245"/>
  <c r="CP244"/>
  <c r="CP243"/>
  <c r="CP242"/>
  <c r="CP241"/>
  <c r="CP240"/>
  <c r="CP239"/>
  <c r="CP238"/>
  <c r="CP237"/>
  <c r="CP236"/>
  <c r="CN318"/>
  <c r="CN317"/>
  <c r="CN316"/>
  <c r="CN315"/>
  <c r="CN314"/>
  <c r="CN313"/>
  <c r="CN312"/>
  <c r="CN311"/>
  <c r="CN310"/>
  <c r="CN309"/>
  <c r="CN308"/>
  <c r="CN307"/>
  <c r="CN306"/>
  <c r="CN305"/>
  <c r="CN304"/>
  <c r="CN303"/>
  <c r="CN302"/>
  <c r="CN301"/>
  <c r="CN300"/>
  <c r="CN299"/>
  <c r="CN298"/>
  <c r="CN297"/>
  <c r="CN296"/>
  <c r="CN295"/>
  <c r="CN294"/>
  <c r="CN293"/>
  <c r="CN292"/>
  <c r="CN291"/>
  <c r="CN290"/>
  <c r="CN289"/>
  <c r="CN288"/>
  <c r="CN287"/>
  <c r="CN286"/>
  <c r="CN285"/>
  <c r="CN284"/>
  <c r="CN283"/>
  <c r="CN282"/>
  <c r="CN281"/>
  <c r="CN280"/>
  <c r="CN279"/>
  <c r="CN278"/>
  <c r="CN277"/>
  <c r="CN276"/>
  <c r="CN275"/>
  <c r="CN274"/>
  <c r="CN273"/>
  <c r="CN272"/>
  <c r="CN271"/>
  <c r="CN270"/>
  <c r="CN269"/>
  <c r="CN268"/>
  <c r="CN267"/>
  <c r="CN266"/>
  <c r="CN265"/>
  <c r="CN264"/>
  <c r="CN263"/>
  <c r="CN262"/>
  <c r="CN261"/>
  <c r="CN260"/>
  <c r="CN259"/>
  <c r="CN258"/>
  <c r="CN257"/>
  <c r="CN256"/>
  <c r="CN255"/>
  <c r="CN254"/>
  <c r="CN253"/>
  <c r="CN252"/>
  <c r="CN251"/>
  <c r="CN250"/>
  <c r="CN249"/>
  <c r="CN248"/>
  <c r="CN247"/>
  <c r="CN246"/>
  <c r="CN245"/>
  <c r="CN244"/>
  <c r="CN243"/>
  <c r="CN242"/>
  <c r="CN241"/>
  <c r="CN240"/>
  <c r="CN239"/>
  <c r="CN238"/>
  <c r="CN237"/>
  <c r="CN236"/>
  <c r="CL318"/>
  <c r="CL317"/>
  <c r="CL316"/>
  <c r="CL315"/>
  <c r="CL314"/>
  <c r="CL313"/>
  <c r="CL312"/>
  <c r="CL311"/>
  <c r="CL310"/>
  <c r="CL309"/>
  <c r="CL308"/>
  <c r="CL307"/>
  <c r="CL306"/>
  <c r="CL305"/>
  <c r="CL304"/>
  <c r="CL303"/>
  <c r="CL302"/>
  <c r="CL301"/>
  <c r="CL300"/>
  <c r="CL299"/>
  <c r="CL298"/>
  <c r="CL297"/>
  <c r="CL296"/>
  <c r="CL295"/>
  <c r="CL294"/>
  <c r="CL293"/>
  <c r="CL292"/>
  <c r="CL291"/>
  <c r="CL290"/>
  <c r="CL289"/>
  <c r="CL288"/>
  <c r="CL287"/>
  <c r="CL286"/>
  <c r="CL285"/>
  <c r="CL284"/>
  <c r="CL283"/>
  <c r="CL282"/>
  <c r="CL281"/>
  <c r="CL280"/>
  <c r="CL279"/>
  <c r="CL278"/>
  <c r="CL277"/>
  <c r="CL276"/>
  <c r="CL275"/>
  <c r="CL274"/>
  <c r="CL273"/>
  <c r="CL272"/>
  <c r="CL271"/>
  <c r="CL270"/>
  <c r="CL269"/>
  <c r="CL268"/>
  <c r="CL267"/>
  <c r="CL266"/>
  <c r="CL265"/>
  <c r="CL264"/>
  <c r="CL263"/>
  <c r="CL262"/>
  <c r="CL261"/>
  <c r="CL260"/>
  <c r="CL259"/>
  <c r="CL258"/>
  <c r="CL257"/>
  <c r="CL256"/>
  <c r="CL255"/>
  <c r="CL254"/>
  <c r="CL253"/>
  <c r="CL252"/>
  <c r="CL251"/>
  <c r="CL250"/>
  <c r="CL249"/>
  <c r="CL248"/>
  <c r="CL247"/>
  <c r="CL246"/>
  <c r="CL245"/>
  <c r="CL244"/>
  <c r="CL243"/>
  <c r="CL242"/>
  <c r="CL241"/>
  <c r="CL240"/>
  <c r="CL239"/>
  <c r="CL238"/>
  <c r="CL237"/>
  <c r="CL236"/>
  <c r="EC37"/>
  <c r="EC36"/>
  <c r="EC35"/>
  <c r="EC46"/>
  <c r="EC45"/>
  <c r="EC44"/>
  <c r="DH235"/>
  <c r="EC34"/>
  <c r="EC33"/>
  <c r="EC32"/>
  <c r="EC40"/>
  <c r="EC39"/>
  <c r="EC38"/>
  <c r="EC42"/>
  <c r="EC41"/>
  <c r="EC52"/>
  <c r="EC51"/>
  <c r="EC50"/>
  <c r="EC55"/>
  <c r="EC54"/>
  <c r="EC53"/>
  <c r="EB30"/>
  <c r="EB21"/>
  <c r="EB15"/>
  <c r="EB12"/>
  <c r="DA289"/>
  <c r="DA288"/>
  <c r="DA287"/>
  <c r="DA286"/>
  <c r="DA285"/>
  <c r="DA284"/>
  <c r="DA283"/>
  <c r="DA282"/>
  <c r="DA281"/>
  <c r="DA280"/>
  <c r="DA279"/>
  <c r="DA278"/>
  <c r="DA277"/>
  <c r="DA276"/>
  <c r="DA275"/>
  <c r="DA274"/>
  <c r="DA273"/>
  <c r="DA272"/>
  <c r="DA271"/>
  <c r="DA270"/>
  <c r="DA269"/>
  <c r="DA268"/>
  <c r="DA267"/>
  <c r="DA266"/>
  <c r="DA265"/>
  <c r="DA264"/>
  <c r="DA263"/>
  <c r="DA262"/>
  <c r="DA261"/>
  <c r="DA260"/>
  <c r="DA259"/>
  <c r="DA258"/>
  <c r="DA257"/>
  <c r="DA256"/>
  <c r="DA255"/>
  <c r="DA254"/>
  <c r="DA253"/>
  <c r="DA252"/>
  <c r="DA251"/>
  <c r="DA250"/>
  <c r="DA249"/>
  <c r="DA247"/>
  <c r="DA246"/>
  <c r="DA245"/>
  <c r="DA244"/>
  <c r="DA243"/>
  <c r="DA242"/>
  <c r="DA241"/>
  <c r="DA240"/>
  <c r="DA239"/>
  <c r="DA238"/>
  <c r="DA237"/>
  <c r="DB235"/>
  <c r="DC289"/>
  <c r="DC288"/>
  <c r="DC287"/>
  <c r="DC286"/>
  <c r="DC285"/>
  <c r="DC284"/>
  <c r="DC283"/>
  <c r="DC282"/>
  <c r="DC281"/>
  <c r="DC280"/>
  <c r="DC279"/>
  <c r="DC278"/>
  <c r="DC277"/>
  <c r="DC276"/>
  <c r="DC275"/>
  <c r="DC274"/>
  <c r="DC273"/>
  <c r="DC272"/>
  <c r="DC271"/>
  <c r="DC270"/>
  <c r="DC269"/>
  <c r="DC268"/>
  <c r="DC267"/>
  <c r="DC266"/>
  <c r="DC265"/>
  <c r="DC264"/>
  <c r="DC263"/>
  <c r="DC262"/>
  <c r="DC261"/>
  <c r="DC260"/>
  <c r="DC259"/>
  <c r="DC258"/>
  <c r="DC257"/>
  <c r="DC256"/>
  <c r="DC255"/>
  <c r="DC254"/>
  <c r="DC253"/>
  <c r="DC252"/>
  <c r="DC251"/>
  <c r="DC250"/>
  <c r="DC249"/>
  <c r="DC247"/>
  <c r="DC246"/>
  <c r="DC245"/>
  <c r="DC244"/>
  <c r="DC243"/>
  <c r="DC242"/>
  <c r="DC241"/>
  <c r="DC240"/>
  <c r="DC239"/>
  <c r="DC238"/>
  <c r="DC237"/>
  <c r="DD235"/>
  <c r="DE289"/>
  <c r="DE288"/>
  <c r="DE287"/>
  <c r="DE286"/>
  <c r="DE285"/>
  <c r="DE284"/>
  <c r="DE283"/>
  <c r="DE282"/>
  <c r="DE281"/>
  <c r="DE280"/>
  <c r="DE279"/>
  <c r="DE278"/>
  <c r="DE277"/>
  <c r="DE276"/>
  <c r="DE275"/>
  <c r="DE274"/>
  <c r="DE273"/>
  <c r="DE272"/>
  <c r="DE271"/>
  <c r="DE270"/>
  <c r="DE269"/>
  <c r="DE268"/>
  <c r="DE267"/>
  <c r="DE266"/>
  <c r="DE265"/>
  <c r="DE264"/>
  <c r="DE263"/>
  <c r="DE262"/>
  <c r="DE261"/>
  <c r="DE260"/>
  <c r="DE259"/>
  <c r="DE258"/>
  <c r="DE257"/>
  <c r="DE256"/>
  <c r="DE255"/>
  <c r="DE254"/>
  <c r="DE253"/>
  <c r="DE252"/>
  <c r="DE251"/>
  <c r="DE250"/>
  <c r="DE249"/>
  <c r="DE247"/>
  <c r="DE246"/>
  <c r="DE245"/>
  <c r="DE244"/>
  <c r="DE243"/>
  <c r="DE242"/>
  <c r="DE241"/>
  <c r="DE240"/>
  <c r="DE239"/>
  <c r="DE238"/>
  <c r="DE237"/>
  <c r="DF235"/>
  <c r="BF3" i="4"/>
  <c r="BI4"/>
  <c r="BG4"/>
  <c r="BI13"/>
  <c r="BG13"/>
  <c r="BH13"/>
  <c r="BJ13"/>
  <c r="B49"/>
  <c r="BI12"/>
  <c r="BG12"/>
  <c r="BH12"/>
  <c r="BJ12"/>
  <c r="BI11"/>
  <c r="BG11"/>
  <c r="BH11"/>
  <c r="BJ11"/>
  <c r="B46"/>
  <c r="BI10"/>
  <c r="BG10"/>
  <c r="BH10"/>
  <c r="BJ10"/>
  <c r="B45"/>
  <c r="BI9"/>
  <c r="BG9"/>
  <c r="BH9"/>
  <c r="BJ9"/>
  <c r="B44"/>
  <c r="BI8"/>
  <c r="BG8"/>
  <c r="BI7"/>
  <c r="BG7"/>
  <c r="BI6"/>
  <c r="BG6"/>
  <c r="BI5"/>
  <c r="BG5"/>
  <c r="BH4"/>
  <c r="BJ4"/>
  <c r="BH5"/>
  <c r="BJ5"/>
  <c r="B39"/>
  <c r="AE42" i="2"/>
  <c r="AE53"/>
  <c r="AH39" i="4"/>
  <c r="AI39"/>
  <c r="AE46" i="2"/>
  <c r="AE57"/>
  <c r="AH44" i="4"/>
  <c r="AI44"/>
  <c r="AE47" i="2"/>
  <c r="AE58"/>
  <c r="AH45" i="4"/>
  <c r="AI45"/>
  <c r="AE48" i="2"/>
  <c r="AE59"/>
  <c r="AH46" i="4"/>
  <c r="AI46"/>
  <c r="B48"/>
  <c r="B47"/>
  <c r="AE50" i="2"/>
  <c r="AE61"/>
  <c r="AH49" i="4"/>
  <c r="AI49"/>
  <c r="DF318" i="2"/>
  <c r="DF317"/>
  <c r="DF316"/>
  <c r="DF315"/>
  <c r="DF314"/>
  <c r="DF313"/>
  <c r="DF312"/>
  <c r="DF311"/>
  <c r="DF310"/>
  <c r="DF309"/>
  <c r="DF308"/>
  <c r="DF307"/>
  <c r="DF306"/>
  <c r="DF305"/>
  <c r="DF304"/>
  <c r="DF303"/>
  <c r="DF302"/>
  <c r="DF301"/>
  <c r="DF300"/>
  <c r="DF299"/>
  <c r="DF298"/>
  <c r="DF297"/>
  <c r="DF296"/>
  <c r="DF295"/>
  <c r="DF294"/>
  <c r="DF293"/>
  <c r="DF292"/>
  <c r="DF291"/>
  <c r="DF290"/>
  <c r="DF289"/>
  <c r="DF288"/>
  <c r="DF287"/>
  <c r="DF286"/>
  <c r="DF285"/>
  <c r="DF284"/>
  <c r="DF283"/>
  <c r="DF282"/>
  <c r="DF281"/>
  <c r="DF280"/>
  <c r="DF279"/>
  <c r="DF278"/>
  <c r="DF277"/>
  <c r="DF276"/>
  <c r="DF275"/>
  <c r="DF274"/>
  <c r="DF273"/>
  <c r="DF272"/>
  <c r="DF271"/>
  <c r="DF270"/>
  <c r="DF269"/>
  <c r="DF268"/>
  <c r="DF267"/>
  <c r="DF266"/>
  <c r="DF265"/>
  <c r="DF264"/>
  <c r="DF263"/>
  <c r="DF262"/>
  <c r="DF261"/>
  <c r="DF260"/>
  <c r="DF259"/>
  <c r="DF258"/>
  <c r="DF257"/>
  <c r="DF256"/>
  <c r="DF255"/>
  <c r="DF254"/>
  <c r="DF253"/>
  <c r="DF252"/>
  <c r="DF251"/>
  <c r="DF250"/>
  <c r="DF249"/>
  <c r="DF248"/>
  <c r="DF247"/>
  <c r="DF246"/>
  <c r="DF245"/>
  <c r="DF244"/>
  <c r="DF243"/>
  <c r="DF242"/>
  <c r="DF241"/>
  <c r="DF240"/>
  <c r="DF239"/>
  <c r="DF238"/>
  <c r="DF237"/>
  <c r="DF236"/>
  <c r="DD318"/>
  <c r="DD317"/>
  <c r="DD316"/>
  <c r="DD315"/>
  <c r="DD314"/>
  <c r="DD313"/>
  <c r="DD312"/>
  <c r="DD311"/>
  <c r="DD310"/>
  <c r="DD309"/>
  <c r="DD308"/>
  <c r="DD307"/>
  <c r="DD306"/>
  <c r="DD305"/>
  <c r="DD304"/>
  <c r="DD303"/>
  <c r="DD302"/>
  <c r="DD301"/>
  <c r="DD300"/>
  <c r="DD299"/>
  <c r="DD298"/>
  <c r="DD297"/>
  <c r="DD296"/>
  <c r="DD295"/>
  <c r="DD294"/>
  <c r="DD293"/>
  <c r="DD292"/>
  <c r="DD291"/>
  <c r="DD290"/>
  <c r="DD289"/>
  <c r="DD288"/>
  <c r="DD287"/>
  <c r="DD286"/>
  <c r="DD285"/>
  <c r="DD284"/>
  <c r="DD283"/>
  <c r="DD282"/>
  <c r="DD281"/>
  <c r="DD280"/>
  <c r="DD279"/>
  <c r="DD278"/>
  <c r="DD277"/>
  <c r="DD276"/>
  <c r="DD275"/>
  <c r="DD274"/>
  <c r="DD273"/>
  <c r="DD272"/>
  <c r="DD271"/>
  <c r="DD270"/>
  <c r="DD269"/>
  <c r="DD268"/>
  <c r="DD267"/>
  <c r="DD266"/>
  <c r="DD265"/>
  <c r="DD264"/>
  <c r="DD263"/>
  <c r="DD262"/>
  <c r="DD261"/>
  <c r="DD260"/>
  <c r="DD259"/>
  <c r="DD258"/>
  <c r="DD257"/>
  <c r="DD256"/>
  <c r="DD255"/>
  <c r="DD254"/>
  <c r="DD253"/>
  <c r="DD252"/>
  <c r="DD251"/>
  <c r="DD250"/>
  <c r="DD249"/>
  <c r="DD248"/>
  <c r="DD247"/>
  <c r="DD246"/>
  <c r="DD245"/>
  <c r="DD244"/>
  <c r="DD243"/>
  <c r="DD242"/>
  <c r="DD241"/>
  <c r="DD240"/>
  <c r="DD239"/>
  <c r="DD238"/>
  <c r="DD237"/>
  <c r="DD236"/>
  <c r="DB318"/>
  <c r="DB317"/>
  <c r="DB316"/>
  <c r="DB315"/>
  <c r="DB314"/>
  <c r="DB313"/>
  <c r="DB312"/>
  <c r="DB311"/>
  <c r="DB310"/>
  <c r="DB309"/>
  <c r="DB308"/>
  <c r="DB307"/>
  <c r="DB306"/>
  <c r="DB305"/>
  <c r="DB304"/>
  <c r="DB303"/>
  <c r="DB302"/>
  <c r="DB301"/>
  <c r="DB300"/>
  <c r="DB299"/>
  <c r="DB298"/>
  <c r="DB297"/>
  <c r="DB296"/>
  <c r="DB295"/>
  <c r="DB294"/>
  <c r="DB293"/>
  <c r="DB292"/>
  <c r="DB291"/>
  <c r="DB290"/>
  <c r="DB289"/>
  <c r="DB288"/>
  <c r="DB287"/>
  <c r="DB286"/>
  <c r="DB285"/>
  <c r="DB284"/>
  <c r="DB283"/>
  <c r="DB282"/>
  <c r="DB281"/>
  <c r="DB280"/>
  <c r="DB279"/>
  <c r="DB278"/>
  <c r="DB277"/>
  <c r="DB276"/>
  <c r="DB275"/>
  <c r="DB274"/>
  <c r="DB273"/>
  <c r="DB272"/>
  <c r="DB271"/>
  <c r="DB270"/>
  <c r="DB269"/>
  <c r="DB268"/>
  <c r="DB267"/>
  <c r="DB266"/>
  <c r="DB265"/>
  <c r="DB264"/>
  <c r="DB263"/>
  <c r="DB262"/>
  <c r="DB261"/>
  <c r="DB260"/>
  <c r="DB259"/>
  <c r="DB258"/>
  <c r="DB257"/>
  <c r="DB256"/>
  <c r="DB255"/>
  <c r="DB254"/>
  <c r="DB253"/>
  <c r="DB252"/>
  <c r="DB251"/>
  <c r="DB250"/>
  <c r="DB249"/>
  <c r="DB248"/>
  <c r="DB247"/>
  <c r="DB246"/>
  <c r="DB245"/>
  <c r="DB244"/>
  <c r="DB243"/>
  <c r="DB242"/>
  <c r="DB241"/>
  <c r="DB240"/>
  <c r="DB239"/>
  <c r="DB238"/>
  <c r="DB237"/>
  <c r="DB236"/>
  <c r="EC11"/>
  <c r="EC12"/>
  <c r="EC16"/>
  <c r="EC15"/>
  <c r="EC14"/>
  <c r="EC21"/>
  <c r="EC20"/>
  <c r="EC31"/>
  <c r="EC30"/>
  <c r="EC29"/>
  <c r="AD30" i="4"/>
  <c r="ED53" i="2"/>
  <c r="AC30" i="4"/>
  <c r="AD31"/>
  <c r="ED54" i="2"/>
  <c r="AC31" i="4"/>
  <c r="AD32"/>
  <c r="ED55" i="2"/>
  <c r="AC32" i="4"/>
  <c r="AD27"/>
  <c r="ED50" i="2"/>
  <c r="AC27" i="4"/>
  <c r="AD28"/>
  <c r="ED51" i="2"/>
  <c r="AC28" i="4"/>
  <c r="AD29"/>
  <c r="ED52" i="2"/>
  <c r="AC29" i="4"/>
  <c r="AD18"/>
  <c r="ED41" i="2"/>
  <c r="AC18" i="4"/>
  <c r="AD19"/>
  <c r="ED42" i="2"/>
  <c r="AC19" i="4"/>
  <c r="AD15"/>
  <c r="ED38" i="2"/>
  <c r="AC15" i="4"/>
  <c r="AD16"/>
  <c r="ED39" i="2"/>
  <c r="AC16" i="4"/>
  <c r="AD17"/>
  <c r="ED40" i="2"/>
  <c r="AC17" i="4"/>
  <c r="AD9"/>
  <c r="ED32" i="2"/>
  <c r="AC9" i="4"/>
  <c r="AD10"/>
  <c r="ED33" i="2"/>
  <c r="AC10" i="4"/>
  <c r="AD11"/>
  <c r="ED34" i="2"/>
  <c r="AC11" i="4"/>
  <c r="DH318" i="2"/>
  <c r="DH317"/>
  <c r="DH316"/>
  <c r="DH315"/>
  <c r="DH314"/>
  <c r="DH313"/>
  <c r="DH312"/>
  <c r="DH311"/>
  <c r="DH310"/>
  <c r="DH309"/>
  <c r="DH308"/>
  <c r="DH307"/>
  <c r="DH306"/>
  <c r="DH305"/>
  <c r="DH304"/>
  <c r="DH303"/>
  <c r="DH302"/>
  <c r="DH301"/>
  <c r="DH300"/>
  <c r="DH299"/>
  <c r="DH298"/>
  <c r="DH297"/>
  <c r="DH296"/>
  <c r="DH295"/>
  <c r="DH294"/>
  <c r="DH293"/>
  <c r="DH292"/>
  <c r="DH291"/>
  <c r="DH290"/>
  <c r="DH289"/>
  <c r="DH288"/>
  <c r="DH287"/>
  <c r="DH286"/>
  <c r="DH285"/>
  <c r="DH284"/>
  <c r="DH283"/>
  <c r="DH282"/>
  <c r="DH281"/>
  <c r="DH280"/>
  <c r="DH279"/>
  <c r="DH278"/>
  <c r="DH277"/>
  <c r="DH276"/>
  <c r="DH275"/>
  <c r="DH274"/>
  <c r="DH273"/>
  <c r="DH272"/>
  <c r="DH271"/>
  <c r="DH270"/>
  <c r="DH269"/>
  <c r="DH268"/>
  <c r="DH267"/>
  <c r="DH266"/>
  <c r="DH265"/>
  <c r="DH264"/>
  <c r="DH263"/>
  <c r="DH262"/>
  <c r="DH261"/>
  <c r="DH260"/>
  <c r="DH259"/>
  <c r="DH258"/>
  <c r="DH257"/>
  <c r="DH256"/>
  <c r="DH255"/>
  <c r="DH254"/>
  <c r="DH253"/>
  <c r="DH252"/>
  <c r="DH251"/>
  <c r="DH250"/>
  <c r="DH249"/>
  <c r="DH248"/>
  <c r="DH247"/>
  <c r="DH246"/>
  <c r="DH245"/>
  <c r="DH244"/>
  <c r="DH243"/>
  <c r="DH242"/>
  <c r="DH241"/>
  <c r="DH240"/>
  <c r="DH239"/>
  <c r="DH238"/>
  <c r="DH237"/>
  <c r="DH236"/>
  <c r="ED44"/>
  <c r="AC21" i="4"/>
  <c r="AD21"/>
  <c r="ED45" i="2"/>
  <c r="AC22" i="4"/>
  <c r="AD22"/>
  <c r="ED46" i="2"/>
  <c r="AC23" i="4"/>
  <c r="AD23"/>
  <c r="ED35" i="2"/>
  <c r="AC12" i="4"/>
  <c r="AD12"/>
  <c r="ED36" i="2"/>
  <c r="AC13" i="4"/>
  <c r="AD13"/>
  <c r="ED37" i="2"/>
  <c r="AC14" i="4"/>
  <c r="AD14"/>
  <c r="B68" i="2"/>
  <c r="B67"/>
  <c r="AM148"/>
  <c r="AM80"/>
  <c r="AM58"/>
  <c r="B71"/>
  <c r="B69"/>
  <c r="B70"/>
  <c r="BO34"/>
  <c r="AM110"/>
  <c r="AM82"/>
  <c r="AM69"/>
  <c r="AM64"/>
  <c r="CD121"/>
  <c r="AM121"/>
  <c r="AM105"/>
  <c r="AD6" i="4"/>
  <c r="ED29" i="2"/>
  <c r="AC6" i="4"/>
  <c r="AD7"/>
  <c r="ED30" i="2"/>
  <c r="AC7" i="4"/>
  <c r="AD8"/>
  <c r="ED31" i="2"/>
  <c r="AC8" i="4"/>
  <c r="N24"/>
  <c r="ED20" i="2"/>
  <c r="L24" i="4"/>
  <c r="N25"/>
  <c r="ED21" i="2"/>
  <c r="L25" i="4"/>
  <c r="N18"/>
  <c r="ED14" i="2"/>
  <c r="L18" i="4"/>
  <c r="N19"/>
  <c r="ED15" i="2"/>
  <c r="L19" i="4"/>
  <c r="N20"/>
  <c r="ED16" i="2"/>
  <c r="L20" i="4"/>
  <c r="N16"/>
  <c r="ED12" i="2"/>
  <c r="L16" i="4"/>
  <c r="N15"/>
  <c r="AM36" i="2"/>
  <c r="ED11"/>
  <c r="L15" i="4"/>
  <c r="AE49" i="2"/>
  <c r="AE60"/>
  <c r="AH48" i="4"/>
  <c r="AI48"/>
  <c r="AM92" i="2"/>
  <c r="DA92"/>
  <c r="CY92"/>
  <c r="CW92"/>
  <c r="CU92"/>
  <c r="CS92"/>
  <c r="DC92"/>
  <c r="CO92"/>
  <c r="CM92"/>
  <c r="CK92"/>
  <c r="DA36"/>
  <c r="CY36"/>
  <c r="CW36"/>
  <c r="CU36"/>
  <c r="CS36"/>
  <c r="DC36"/>
  <c r="CO36"/>
  <c r="CM36"/>
  <c r="CK36"/>
  <c r="AM109"/>
  <c r="AM60"/>
  <c r="CF144"/>
  <c r="AM81"/>
  <c r="AM144"/>
  <c r="BG102"/>
  <c r="AM52"/>
  <c r="DA105"/>
  <c r="CY105"/>
  <c r="CW105"/>
  <c r="CU105"/>
  <c r="CS105"/>
  <c r="DC105"/>
  <c r="CO105"/>
  <c r="CM105"/>
  <c r="CK105"/>
  <c r="DA121"/>
  <c r="CY121"/>
  <c r="CW121"/>
  <c r="CU121"/>
  <c r="CS121"/>
  <c r="DC121"/>
  <c r="CO121"/>
  <c r="CM121"/>
  <c r="CK121"/>
  <c r="DA64"/>
  <c r="CY64"/>
  <c r="CW64"/>
  <c r="CU64"/>
  <c r="CS64"/>
  <c r="DC64"/>
  <c r="CO64"/>
  <c r="CM64"/>
  <c r="CK64"/>
  <c r="DA69"/>
  <c r="CY69"/>
  <c r="CW69"/>
  <c r="CU69"/>
  <c r="CS69"/>
  <c r="DC69"/>
  <c r="CO69"/>
  <c r="CM69"/>
  <c r="CK69"/>
  <c r="DA82"/>
  <c r="CY82"/>
  <c r="CW82"/>
  <c r="CU82"/>
  <c r="CS82"/>
  <c r="DC82"/>
  <c r="CO82"/>
  <c r="CM82"/>
  <c r="CK82"/>
  <c r="DA110"/>
  <c r="CY110"/>
  <c r="CW110"/>
  <c r="CU110"/>
  <c r="CS110"/>
  <c r="DC110"/>
  <c r="CO110"/>
  <c r="CM110"/>
  <c r="CK110"/>
  <c r="DA58"/>
  <c r="CY58"/>
  <c r="CW58"/>
  <c r="CU58"/>
  <c r="CS58"/>
  <c r="DC58"/>
  <c r="CO58"/>
  <c r="CM58"/>
  <c r="CK58"/>
  <c r="DA80"/>
  <c r="CY80"/>
  <c r="CW80"/>
  <c r="CU80"/>
  <c r="CS80"/>
  <c r="DC80"/>
  <c r="CO80"/>
  <c r="CM80"/>
  <c r="CK80"/>
  <c r="DA148"/>
  <c r="CY148"/>
  <c r="CW148"/>
  <c r="CU148"/>
  <c r="CS148"/>
  <c r="DC148"/>
  <c r="CO148"/>
  <c r="CM148"/>
  <c r="CK148"/>
  <c r="DA52"/>
  <c r="CY52"/>
  <c r="CW52"/>
  <c r="CU52"/>
  <c r="CS52"/>
  <c r="DC52"/>
  <c r="CO52"/>
  <c r="CM52"/>
  <c r="CK52"/>
  <c r="DA144"/>
  <c r="CY144"/>
  <c r="CW144"/>
  <c r="CU144"/>
  <c r="CS144"/>
  <c r="DC144"/>
  <c r="CO144"/>
  <c r="CM144"/>
  <c r="CK144"/>
  <c r="DA81"/>
  <c r="CY81"/>
  <c r="CW81"/>
  <c r="CU81"/>
  <c r="CS81"/>
  <c r="DC81"/>
  <c r="CO81"/>
  <c r="CM81"/>
  <c r="CK81"/>
  <c r="DA60"/>
  <c r="CY60"/>
  <c r="CW60"/>
  <c r="CU60"/>
  <c r="CS60"/>
  <c r="DC60"/>
  <c r="CO60"/>
  <c r="CM60"/>
  <c r="CK60"/>
  <c r="DA109"/>
  <c r="CY109"/>
  <c r="CW109"/>
  <c r="CU109"/>
  <c r="CS109"/>
  <c r="DC109"/>
  <c r="CO109"/>
  <c r="CM109"/>
  <c r="CK109"/>
  <c r="BH8" i="4"/>
  <c r="BH7"/>
  <c r="BH6"/>
  <c r="BJ6"/>
  <c r="B41"/>
  <c r="B12"/>
  <c r="B24"/>
  <c r="B6"/>
  <c r="B15"/>
  <c r="T30"/>
  <c r="B18"/>
  <c r="T15"/>
  <c r="T27"/>
  <c r="T24"/>
  <c r="T21"/>
  <c r="T18"/>
  <c r="T12"/>
  <c r="T9"/>
  <c r="T6"/>
  <c r="B33"/>
  <c r="B30"/>
  <c r="B27"/>
  <c r="B21"/>
  <c r="B9"/>
  <c r="DZ30" i="2"/>
  <c r="EB6"/>
  <c r="DZ57"/>
  <c r="EB9"/>
  <c r="DZ185"/>
  <c r="EB24"/>
  <c r="B38" i="4"/>
  <c r="EC19" i="2"/>
  <c r="EC18"/>
  <c r="EC17"/>
  <c r="EC28"/>
  <c r="EC27"/>
  <c r="EC26"/>
  <c r="BJ8" i="4"/>
  <c r="B43"/>
  <c r="BJ7"/>
  <c r="AE43" i="2"/>
  <c r="AE54"/>
  <c r="AH41" i="4"/>
  <c r="AI41"/>
  <c r="EC25" i="2"/>
  <c r="EC24"/>
  <c r="EC23"/>
  <c r="EC8"/>
  <c r="EC10"/>
  <c r="EC9"/>
  <c r="EC7"/>
  <c r="EC6"/>
  <c r="EC5"/>
  <c r="EE28"/>
  <c r="EE29"/>
  <c r="EE30"/>
  <c r="EE31"/>
  <c r="EE32"/>
  <c r="EE33"/>
  <c r="EE34"/>
  <c r="EE35"/>
  <c r="EE36"/>
  <c r="EE37"/>
  <c r="EE38"/>
  <c r="EE39"/>
  <c r="EE40"/>
  <c r="EE41"/>
  <c r="EE42"/>
  <c r="EE43"/>
  <c r="EE44"/>
  <c r="EE45"/>
  <c r="EE46"/>
  <c r="EE47"/>
  <c r="EE48"/>
  <c r="EE49"/>
  <c r="EE50"/>
  <c r="EE51"/>
  <c r="EE52"/>
  <c r="EE53"/>
  <c r="EE132"/>
  <c r="EE133"/>
  <c r="EE134"/>
  <c r="EE135"/>
  <c r="EE136"/>
  <c r="EE137"/>
  <c r="EE138"/>
  <c r="EE139"/>
  <c r="EE140"/>
  <c r="EE141"/>
  <c r="EE142"/>
  <c r="EE143"/>
  <c r="EE144"/>
  <c r="EE145"/>
  <c r="EE146"/>
  <c r="EE147"/>
  <c r="EE148"/>
  <c r="EE149"/>
  <c r="EE150"/>
  <c r="EE151"/>
  <c r="EE152"/>
  <c r="EE153"/>
  <c r="EE154"/>
  <c r="EE155"/>
  <c r="EE156"/>
  <c r="EE157"/>
  <c r="EE184"/>
  <c r="EE185"/>
  <c r="EE186"/>
  <c r="EE187"/>
  <c r="EE188"/>
  <c r="EE189"/>
  <c r="EE190"/>
  <c r="EE191"/>
  <c r="EE192"/>
  <c r="EE193"/>
  <c r="EE194"/>
  <c r="EE195"/>
  <c r="EE196"/>
  <c r="EE197"/>
  <c r="EE198"/>
  <c r="EE199"/>
  <c r="EE200"/>
  <c r="EE201"/>
  <c r="EE202"/>
  <c r="EE203"/>
  <c r="EE204"/>
  <c r="EE205"/>
  <c r="EE206"/>
  <c r="EE207"/>
  <c r="EE208"/>
  <c r="EE209"/>
  <c r="EE210"/>
  <c r="EE211"/>
  <c r="EE212"/>
  <c r="EE213"/>
  <c r="EE214"/>
  <c r="EE215"/>
  <c r="EE216"/>
  <c r="EE217"/>
  <c r="EE218"/>
  <c r="EE219"/>
  <c r="EE220"/>
  <c r="EE221"/>
  <c r="EE222"/>
  <c r="EE223"/>
  <c r="EE224"/>
  <c r="EE225"/>
  <c r="EE226"/>
  <c r="EE227"/>
  <c r="EE228"/>
  <c r="EE229"/>
  <c r="EE230"/>
  <c r="EE231"/>
  <c r="EE232"/>
  <c r="EE233"/>
  <c r="EE234"/>
  <c r="EE235"/>
  <c r="EE236"/>
  <c r="EE237"/>
  <c r="EE238"/>
  <c r="EE239"/>
  <c r="EE240"/>
  <c r="EE241"/>
  <c r="EE242"/>
  <c r="EE243"/>
  <c r="EE244"/>
  <c r="EE245"/>
  <c r="EE246"/>
  <c r="EE247"/>
  <c r="EE248"/>
  <c r="EE249"/>
  <c r="EE250"/>
  <c r="EE251"/>
  <c r="EE252"/>
  <c r="EE253"/>
  <c r="EE254"/>
  <c r="EE255"/>
  <c r="EE256"/>
  <c r="EE257"/>
  <c r="EE258"/>
  <c r="EE259"/>
  <c r="EE260"/>
  <c r="EE261"/>
  <c r="EE262"/>
  <c r="EE263"/>
  <c r="EE264"/>
  <c r="EE265"/>
  <c r="EE266"/>
  <c r="EE267"/>
  <c r="EE268"/>
  <c r="EE269"/>
  <c r="EE270"/>
  <c r="EE271"/>
  <c r="EE272"/>
  <c r="EE273"/>
  <c r="EE274"/>
  <c r="EE275"/>
  <c r="EE276"/>
  <c r="EE277"/>
  <c r="EE278"/>
  <c r="EE279"/>
  <c r="EE280"/>
  <c r="EE281"/>
  <c r="EE282"/>
  <c r="EE283"/>
  <c r="EE284"/>
  <c r="EE285"/>
  <c r="EE286"/>
  <c r="EE287"/>
  <c r="EE288"/>
  <c r="EE289"/>
  <c r="EE290"/>
  <c r="EE291"/>
  <c r="EE292"/>
  <c r="EE293"/>
  <c r="EE294"/>
  <c r="EE295"/>
  <c r="EE296"/>
  <c r="EE297"/>
  <c r="EE298"/>
  <c r="EE299"/>
  <c r="EE300"/>
  <c r="EE301"/>
  <c r="EE302"/>
  <c r="EE303"/>
  <c r="EE304"/>
  <c r="EE305"/>
  <c r="EE306"/>
  <c r="EE307"/>
  <c r="EE308"/>
  <c r="EE309"/>
  <c r="EE310"/>
  <c r="EE311"/>
  <c r="EE312"/>
  <c r="EE313"/>
  <c r="EE340"/>
  <c r="EE341"/>
  <c r="EE342"/>
  <c r="EE343"/>
  <c r="EE344"/>
  <c r="EE345"/>
  <c r="EE346"/>
  <c r="EE347"/>
  <c r="EE348"/>
  <c r="EE349"/>
  <c r="EE350"/>
  <c r="EE351"/>
  <c r="EE352"/>
  <c r="EE353"/>
  <c r="EE354"/>
  <c r="EE355"/>
  <c r="EE356"/>
  <c r="EE357"/>
  <c r="EE358"/>
  <c r="EE359"/>
  <c r="EE360"/>
  <c r="EE361"/>
  <c r="EE362"/>
  <c r="EE363"/>
  <c r="EE364"/>
  <c r="EE365"/>
  <c r="EE366"/>
  <c r="EE367"/>
  <c r="EE368"/>
  <c r="EE369"/>
  <c r="EE370"/>
  <c r="EE371"/>
  <c r="EE372"/>
  <c r="EE373"/>
  <c r="EE374"/>
  <c r="EE375"/>
  <c r="EE376"/>
  <c r="EE377"/>
  <c r="EE378"/>
  <c r="EE379"/>
  <c r="EE380"/>
  <c r="EE381"/>
  <c r="EE382"/>
  <c r="EE383"/>
  <c r="EE384"/>
  <c r="EE385"/>
  <c r="EE386"/>
  <c r="EE387"/>
  <c r="EE388"/>
  <c r="EE389"/>
  <c r="EE390"/>
  <c r="EE391"/>
  <c r="EE392"/>
  <c r="EE393"/>
  <c r="EE394"/>
  <c r="EE395"/>
  <c r="EE396"/>
  <c r="EE397"/>
  <c r="EE398"/>
  <c r="EE399"/>
  <c r="EE400"/>
  <c r="EE401"/>
  <c r="EE402"/>
  <c r="EE403"/>
  <c r="EE404"/>
  <c r="EE405"/>
  <c r="EE406"/>
  <c r="EE407"/>
  <c r="EE408"/>
  <c r="EE409"/>
  <c r="EE410"/>
  <c r="EE411"/>
  <c r="EE412"/>
  <c r="EE413"/>
  <c r="EE414"/>
  <c r="EE415"/>
  <c r="EE416"/>
  <c r="EE417"/>
  <c r="EE418"/>
  <c r="EE419"/>
  <c r="EE420"/>
  <c r="EE421"/>
  <c r="EE422"/>
  <c r="EE423"/>
  <c r="EE424"/>
  <c r="EE425"/>
  <c r="EE426"/>
  <c r="EE427"/>
  <c r="EE428"/>
  <c r="EE429"/>
  <c r="EE430"/>
  <c r="EE431"/>
  <c r="EE432"/>
  <c r="EE433"/>
  <c r="EE434"/>
  <c r="EE435"/>
  <c r="EE436"/>
  <c r="EE437"/>
  <c r="EE438"/>
  <c r="EE439"/>
  <c r="EE440"/>
  <c r="EE441"/>
  <c r="EE442"/>
  <c r="EE443"/>
  <c r="EE314"/>
  <c r="EE315"/>
  <c r="EE316"/>
  <c r="EE317"/>
  <c r="EE318"/>
  <c r="EE319"/>
  <c r="EE320"/>
  <c r="EE321"/>
  <c r="EE322"/>
  <c r="EE323"/>
  <c r="EE324"/>
  <c r="EE325"/>
  <c r="EE326"/>
  <c r="EE327"/>
  <c r="EE328"/>
  <c r="EE329"/>
  <c r="EE330"/>
  <c r="EE331"/>
  <c r="EE332"/>
  <c r="EE333"/>
  <c r="EE334"/>
  <c r="EE335"/>
  <c r="EE336"/>
  <c r="EE337"/>
  <c r="EE338"/>
  <c r="EE339"/>
  <c r="EE106"/>
  <c r="EE107"/>
  <c r="EE108"/>
  <c r="EE109"/>
  <c r="EE110"/>
  <c r="EE111"/>
  <c r="EE112"/>
  <c r="EE113"/>
  <c r="EE114"/>
  <c r="EE115"/>
  <c r="EE116"/>
  <c r="EE117"/>
  <c r="EE118"/>
  <c r="EE119"/>
  <c r="EE120"/>
  <c r="EE121"/>
  <c r="EE122"/>
  <c r="EE123"/>
  <c r="EE124"/>
  <c r="EE125"/>
  <c r="EE126"/>
  <c r="EE127"/>
  <c r="EE128"/>
  <c r="EE129"/>
  <c r="EE130"/>
  <c r="EE131"/>
  <c r="EE444"/>
  <c r="EE445"/>
  <c r="EE446"/>
  <c r="EE447"/>
  <c r="EE448"/>
  <c r="EE449"/>
  <c r="EE450"/>
  <c r="EE451"/>
  <c r="EE452"/>
  <c r="EE453"/>
  <c r="EE454"/>
  <c r="EE455"/>
  <c r="EE456"/>
  <c r="EE457"/>
  <c r="EE458"/>
  <c r="EE459"/>
  <c r="EE460"/>
  <c r="EE461"/>
  <c r="EE462"/>
  <c r="EE463"/>
  <c r="EE464"/>
  <c r="EE465"/>
  <c r="EE466"/>
  <c r="EE467"/>
  <c r="EE468"/>
  <c r="EE469"/>
  <c r="EE80"/>
  <c r="EE81"/>
  <c r="EE82"/>
  <c r="EE83"/>
  <c r="EE84"/>
  <c r="EE85"/>
  <c r="EE86"/>
  <c r="EE87"/>
  <c r="EE88"/>
  <c r="EE89"/>
  <c r="EE90"/>
  <c r="EE91"/>
  <c r="EE92"/>
  <c r="EE93"/>
  <c r="EE94"/>
  <c r="EE95"/>
  <c r="EE96"/>
  <c r="EE97"/>
  <c r="EE98"/>
  <c r="EE99"/>
  <c r="EE100"/>
  <c r="EE101"/>
  <c r="EE102"/>
  <c r="EE103"/>
  <c r="EE104"/>
  <c r="EE105"/>
  <c r="D8" i="4"/>
  <c r="EE2" i="2"/>
  <c r="EE3"/>
  <c r="EE4"/>
  <c r="EE5"/>
  <c r="EE6"/>
  <c r="EE7"/>
  <c r="EE8"/>
  <c r="EE9"/>
  <c r="EE10"/>
  <c r="EE11"/>
  <c r="EE12"/>
  <c r="EE13"/>
  <c r="EE14"/>
  <c r="EE15"/>
  <c r="EE16"/>
  <c r="EE17"/>
  <c r="EE18"/>
  <c r="EE19"/>
  <c r="EE20"/>
  <c r="EE21"/>
  <c r="EE22"/>
  <c r="EE23"/>
  <c r="EE24"/>
  <c r="EE25"/>
  <c r="EE26"/>
  <c r="EE27"/>
  <c r="EE158"/>
  <c r="EE159"/>
  <c r="AT10" i="4" s="1"/>
  <c r="EE160" i="2"/>
  <c r="EE161"/>
  <c r="EE162"/>
  <c r="EE163"/>
  <c r="EE164"/>
  <c r="EE165"/>
  <c r="EE166"/>
  <c r="EE167"/>
  <c r="EE168"/>
  <c r="EE169"/>
  <c r="EE170"/>
  <c r="EE171"/>
  <c r="EE172"/>
  <c r="EE173"/>
  <c r="EE174"/>
  <c r="EE175"/>
  <c r="EE176"/>
  <c r="EE177"/>
  <c r="EE178"/>
  <c r="EE179"/>
  <c r="EE180"/>
  <c r="EE181"/>
  <c r="EE182"/>
  <c r="EE183"/>
  <c r="EE54"/>
  <c r="AT8" i="4" s="1"/>
  <c r="EE55" i="2"/>
  <c r="EE56"/>
  <c r="AT9" i="4" s="1"/>
  <c r="EE57" i="2"/>
  <c r="EE58"/>
  <c r="EE59"/>
  <c r="EE60"/>
  <c r="EE61"/>
  <c r="EE62"/>
  <c r="EE63"/>
  <c r="EE64"/>
  <c r="EE65"/>
  <c r="EE66"/>
  <c r="EE67"/>
  <c r="EE68"/>
  <c r="EE69"/>
  <c r="EE70"/>
  <c r="EE71"/>
  <c r="EE72"/>
  <c r="EE73"/>
  <c r="EE74"/>
  <c r="EE75"/>
  <c r="EE76"/>
  <c r="EE77"/>
  <c r="EE78"/>
  <c r="EE79"/>
  <c r="AE41"/>
  <c r="AE52"/>
  <c r="AH38" i="4"/>
  <c r="AI38"/>
  <c r="ED26" i="2"/>
  <c r="L30" i="4"/>
  <c r="N30"/>
  <c r="ED27" i="2"/>
  <c r="L31" i="4"/>
  <c r="N31"/>
  <c r="ED28" i="2"/>
  <c r="L32" i="4"/>
  <c r="N32"/>
  <c r="ED17" i="2"/>
  <c r="L21" i="4"/>
  <c r="N21"/>
  <c r="ED18" i="2"/>
  <c r="L22" i="4"/>
  <c r="N22"/>
  <c r="ED19" i="2"/>
  <c r="L23" i="4"/>
  <c r="N23"/>
  <c r="AE45" i="2"/>
  <c r="AE56"/>
  <c r="AH43" i="4"/>
  <c r="AI43"/>
  <c r="B42"/>
  <c r="BJ14"/>
  <c r="N9"/>
  <c r="ED5" i="2"/>
  <c r="L9" i="4"/>
  <c r="N10"/>
  <c r="ED6" i="2"/>
  <c r="L10" i="4"/>
  <c r="N11"/>
  <c r="ED7" i="2"/>
  <c r="L11" i="4"/>
  <c r="N13"/>
  <c r="ED9" i="2"/>
  <c r="L13" i="4"/>
  <c r="N14"/>
  <c r="ED10" i="2"/>
  <c r="L14" i="4"/>
  <c r="N12"/>
  <c r="ED8" i="2"/>
  <c r="L12" i="4"/>
  <c r="N27"/>
  <c r="ED23" i="2"/>
  <c r="L27" i="4"/>
  <c r="N28"/>
  <c r="ED24" i="2"/>
  <c r="L28" i="4"/>
  <c r="N29"/>
  <c r="ED25" i="2"/>
  <c r="L29" i="4"/>
  <c r="DD147" i="2"/>
  <c r="DB147"/>
  <c r="DL332"/>
  <c r="AW45" i="4"/>
  <c r="DJ332" i="2"/>
  <c r="AW44" i="4"/>
  <c r="DH332" i="2"/>
  <c r="AW43" i="4"/>
  <c r="DF332" i="2"/>
  <c r="AW42" i="4"/>
  <c r="DD332" i="2"/>
  <c r="AW41" i="4"/>
  <c r="DB332" i="2"/>
  <c r="AW39" i="4"/>
  <c r="CZ147" i="2"/>
  <c r="CX147"/>
  <c r="CV147"/>
  <c r="AE44"/>
  <c r="AE55"/>
  <c r="AH42" i="4"/>
  <c r="AI42"/>
  <c r="AM116" i="2"/>
  <c r="AM143"/>
  <c r="Q83"/>
  <c r="AA83"/>
  <c r="AB83"/>
  <c r="J37"/>
  <c r="J38"/>
  <c r="Q80"/>
  <c r="AA80"/>
  <c r="AB80"/>
  <c r="Z75"/>
  <c r="Z76"/>
  <c r="Z74"/>
  <c r="S89"/>
  <c r="S88"/>
  <c r="S87"/>
  <c r="Q90"/>
  <c r="Q89"/>
  <c r="AA89"/>
  <c r="AB89"/>
  <c r="Q88"/>
  <c r="Q87"/>
  <c r="Q86"/>
  <c r="Q85"/>
  <c r="AA85"/>
  <c r="AB85"/>
  <c r="Q84"/>
  <c r="AA84"/>
  <c r="AB84"/>
  <c r="Q82"/>
  <c r="AA82"/>
  <c r="AB82"/>
  <c r="Q81"/>
  <c r="AA81"/>
  <c r="AB81"/>
  <c r="Q79"/>
  <c r="Q78"/>
  <c r="AA78"/>
  <c r="AB78"/>
  <c r="Q77"/>
  <c r="Q76"/>
  <c r="AA76"/>
  <c r="AB76"/>
  <c r="Q75"/>
  <c r="AA75"/>
  <c r="AB75"/>
  <c r="Q74"/>
  <c r="AA74"/>
  <c r="AB74"/>
  <c r="P54" i="4" s="1"/>
  <c r="N91" i="2"/>
  <c r="AA91"/>
  <c r="AB91"/>
  <c r="N55"/>
  <c r="AA55"/>
  <c r="AB55"/>
  <c r="M73"/>
  <c r="AA73"/>
  <c r="AB73"/>
  <c r="M72"/>
  <c r="AA72"/>
  <c r="AB72"/>
  <c r="M71"/>
  <c r="AA71"/>
  <c r="AB71"/>
  <c r="M62"/>
  <c r="AA62"/>
  <c r="AB62"/>
  <c r="M61"/>
  <c r="AA61"/>
  <c r="AB61"/>
  <c r="M60"/>
  <c r="AA60"/>
  <c r="AB60"/>
  <c r="J76"/>
  <c r="J75"/>
  <c r="J74"/>
  <c r="J55"/>
  <c r="M70"/>
  <c r="AA70"/>
  <c r="AB70"/>
  <c r="N98"/>
  <c r="AA98"/>
  <c r="AB98"/>
  <c r="N97"/>
  <c r="AA97"/>
  <c r="AB97"/>
  <c r="N96"/>
  <c r="AA96"/>
  <c r="AB96"/>
  <c r="N95"/>
  <c r="AA95"/>
  <c r="AB95"/>
  <c r="N93"/>
  <c r="AA93"/>
  <c r="AB93"/>
  <c r="N92"/>
  <c r="AA92"/>
  <c r="AB92"/>
  <c r="T54"/>
  <c r="AA54"/>
  <c r="AB54"/>
  <c r="T53"/>
  <c r="AA53"/>
  <c r="AB53"/>
  <c r="T52"/>
  <c r="T51"/>
  <c r="T50"/>
  <c r="AA50"/>
  <c r="AB50"/>
  <c r="T49"/>
  <c r="T48"/>
  <c r="AA48"/>
  <c r="AB48"/>
  <c r="T47"/>
  <c r="AA47"/>
  <c r="AB47"/>
  <c r="O90"/>
  <c r="AA90"/>
  <c r="AB90"/>
  <c r="O88"/>
  <c r="AA88"/>
  <c r="AB88"/>
  <c r="O87"/>
  <c r="AA87"/>
  <c r="AB87"/>
  <c r="U86"/>
  <c r="O79"/>
  <c r="U79"/>
  <c r="O77"/>
  <c r="AA77"/>
  <c r="AB77"/>
  <c r="O69"/>
  <c r="U69"/>
  <c r="O68"/>
  <c r="U68"/>
  <c r="O67"/>
  <c r="AA67"/>
  <c r="AB67"/>
  <c r="O65"/>
  <c r="U65"/>
  <c r="O52"/>
  <c r="AA52"/>
  <c r="AB52"/>
  <c r="P53" i="4" s="1"/>
  <c r="O49" i="2"/>
  <c r="AA49"/>
  <c r="AB49"/>
  <c r="O46"/>
  <c r="AA46"/>
  <c r="AB46"/>
  <c r="O45"/>
  <c r="AA45"/>
  <c r="AB45"/>
  <c r="O44"/>
  <c r="AA44"/>
  <c r="AB44"/>
  <c r="O51"/>
  <c r="AA51"/>
  <c r="AB51"/>
  <c r="AG6" i="4"/>
  <c r="AH5"/>
  <c r="AM6" i="2"/>
  <c r="AL16"/>
  <c r="AL17"/>
  <c r="AL18"/>
  <c r="AL19"/>
  <c r="AL20"/>
  <c r="AL21"/>
  <c r="AL22"/>
  <c r="AL100"/>
  <c r="AK32"/>
  <c r="AK33"/>
  <c r="AK34"/>
  <c r="AK83"/>
  <c r="AK84"/>
  <c r="AK97"/>
  <c r="AK99"/>
  <c r="AM45"/>
  <c r="AM46"/>
  <c r="AM47"/>
  <c r="AM48"/>
  <c r="AM49"/>
  <c r="AM50"/>
  <c r="AM51"/>
  <c r="AM78"/>
  <c r="AM85"/>
  <c r="AM86"/>
  <c r="AM87"/>
  <c r="AM91"/>
  <c r="AM94"/>
  <c r="AM95"/>
  <c r="AM107"/>
  <c r="AM108"/>
  <c r="AM113"/>
  <c r="AM114"/>
  <c r="AM118"/>
  <c r="AM119"/>
  <c r="AM151"/>
  <c r="AM152"/>
  <c r="X55"/>
  <c r="F98"/>
  <c r="F97"/>
  <c r="F96"/>
  <c r="F95"/>
  <c r="F94"/>
  <c r="F93"/>
  <c r="F92"/>
  <c r="F91"/>
  <c r="F86"/>
  <c r="F85"/>
  <c r="F84"/>
  <c r="F90"/>
  <c r="F89"/>
  <c r="F88"/>
  <c r="F87"/>
  <c r="AM150"/>
  <c r="AM117"/>
  <c r="AM112"/>
  <c r="AM111"/>
  <c r="AM106"/>
  <c r="AM93"/>
  <c r="AM29"/>
  <c r="AM26"/>
  <c r="AM23"/>
  <c r="AM11"/>
  <c r="B41"/>
  <c r="B48"/>
  <c r="B47"/>
  <c r="B46"/>
  <c r="B45"/>
  <c r="B44"/>
  <c r="B43"/>
  <c r="B42"/>
  <c r="B49"/>
  <c r="AM145"/>
  <c r="AM31"/>
  <c r="AM30"/>
  <c r="AM28"/>
  <c r="AM27"/>
  <c r="AM25"/>
  <c r="AM24"/>
  <c r="AM13"/>
  <c r="AM12"/>
  <c r="Q39"/>
  <c r="AM70"/>
  <c r="AM5"/>
  <c r="I87"/>
  <c r="I88"/>
  <c r="I89"/>
  <c r="I90"/>
  <c r="I84"/>
  <c r="I85"/>
  <c r="I86"/>
  <c r="I91"/>
  <c r="I92"/>
  <c r="I93"/>
  <c r="I94"/>
  <c r="I95"/>
  <c r="I96"/>
  <c r="I97"/>
  <c r="I98"/>
  <c r="DA152"/>
  <c r="CY152"/>
  <c r="CW152"/>
  <c r="CU152"/>
  <c r="CS152"/>
  <c r="DC152"/>
  <c r="CO152"/>
  <c r="CM152"/>
  <c r="CK152"/>
  <c r="DA151"/>
  <c r="CY151"/>
  <c r="CW151"/>
  <c r="CU151"/>
  <c r="CS151"/>
  <c r="DC151"/>
  <c r="CO151"/>
  <c r="CM151"/>
  <c r="CK151"/>
  <c r="DA119"/>
  <c r="CY119"/>
  <c r="CW119"/>
  <c r="CU119"/>
  <c r="CS119"/>
  <c r="DC119"/>
  <c r="CO119"/>
  <c r="CM119"/>
  <c r="CK119"/>
  <c r="DA118"/>
  <c r="CY118"/>
  <c r="CW118"/>
  <c r="CU118"/>
  <c r="CS118"/>
  <c r="DC118"/>
  <c r="CO118"/>
  <c r="CM118"/>
  <c r="CK118"/>
  <c r="DA114"/>
  <c r="CY114"/>
  <c r="CW114"/>
  <c r="CU114"/>
  <c r="CS114"/>
  <c r="DC114"/>
  <c r="CO114"/>
  <c r="CM114"/>
  <c r="CK114"/>
  <c r="DA113"/>
  <c r="CY113"/>
  <c r="CW113"/>
  <c r="CU113"/>
  <c r="CS113"/>
  <c r="DC113"/>
  <c r="CO113"/>
  <c r="CM113"/>
  <c r="CK113"/>
  <c r="DA108"/>
  <c r="CY108"/>
  <c r="CW108"/>
  <c r="CU108"/>
  <c r="CS108"/>
  <c r="DC108"/>
  <c r="CO108"/>
  <c r="CM108"/>
  <c r="CK108"/>
  <c r="DA107"/>
  <c r="CY107"/>
  <c r="CW107"/>
  <c r="CU107"/>
  <c r="CS107"/>
  <c r="DC107"/>
  <c r="CO107"/>
  <c r="CM107"/>
  <c r="CK107"/>
  <c r="DA95"/>
  <c r="CY95"/>
  <c r="CW95"/>
  <c r="CU95"/>
  <c r="CS95"/>
  <c r="DC95"/>
  <c r="CO95"/>
  <c r="CM95"/>
  <c r="CK95"/>
  <c r="DA94"/>
  <c r="CY94"/>
  <c r="CW94"/>
  <c r="CU94"/>
  <c r="CS94"/>
  <c r="DC94"/>
  <c r="CO94"/>
  <c r="CM94"/>
  <c r="CK94"/>
  <c r="DA91"/>
  <c r="CY91"/>
  <c r="CW91"/>
  <c r="CU91"/>
  <c r="CS91"/>
  <c r="DC91"/>
  <c r="CO91"/>
  <c r="CM91"/>
  <c r="CK91"/>
  <c r="DA87"/>
  <c r="CY87"/>
  <c r="CW87"/>
  <c r="CU87"/>
  <c r="CS87"/>
  <c r="DC87"/>
  <c r="CO87"/>
  <c r="CM87"/>
  <c r="CK87"/>
  <c r="DA86"/>
  <c r="CY86"/>
  <c r="CW86"/>
  <c r="CU86"/>
  <c r="CS86"/>
  <c r="DC86"/>
  <c r="CO86"/>
  <c r="CM86"/>
  <c r="CK86"/>
  <c r="DA85"/>
  <c r="CY85"/>
  <c r="CW85"/>
  <c r="CU85"/>
  <c r="CS85"/>
  <c r="DC85"/>
  <c r="CO85"/>
  <c r="CM85"/>
  <c r="CK85"/>
  <c r="DA78"/>
  <c r="CY78"/>
  <c r="CW78"/>
  <c r="CU78"/>
  <c r="CS78"/>
  <c r="DC78"/>
  <c r="CO78"/>
  <c r="CM78"/>
  <c r="CK78"/>
  <c r="DA51"/>
  <c r="CY51"/>
  <c r="CW51"/>
  <c r="CU51"/>
  <c r="CS51"/>
  <c r="DC51"/>
  <c r="CO51"/>
  <c r="CM51"/>
  <c r="CK51"/>
  <c r="DA50"/>
  <c r="CY50"/>
  <c r="CW50"/>
  <c r="CU50"/>
  <c r="CS50"/>
  <c r="DC50"/>
  <c r="CO50"/>
  <c r="CM50"/>
  <c r="CK50"/>
  <c r="DA49"/>
  <c r="CY49"/>
  <c r="CW49"/>
  <c r="CU49"/>
  <c r="CS49"/>
  <c r="DC49"/>
  <c r="CO49"/>
  <c r="CM49"/>
  <c r="CK49"/>
  <c r="DA48"/>
  <c r="CY48"/>
  <c r="CW48"/>
  <c r="CU48"/>
  <c r="CS48"/>
  <c r="DC48"/>
  <c r="CO48"/>
  <c r="CM48"/>
  <c r="CK48"/>
  <c r="DA47"/>
  <c r="CY47"/>
  <c r="CW47"/>
  <c r="CU47"/>
  <c r="CS47"/>
  <c r="DC47"/>
  <c r="CO47"/>
  <c r="CM47"/>
  <c r="CK47"/>
  <c r="DA46"/>
  <c r="CY46"/>
  <c r="CW46"/>
  <c r="CU46"/>
  <c r="CS46"/>
  <c r="DC46"/>
  <c r="CO46"/>
  <c r="CM46"/>
  <c r="CK46"/>
  <c r="DA45"/>
  <c r="CY45"/>
  <c r="CW45"/>
  <c r="CU45"/>
  <c r="CS45"/>
  <c r="DC45"/>
  <c r="CO45"/>
  <c r="CM45"/>
  <c r="CK45"/>
  <c r="DA6"/>
  <c r="CY6"/>
  <c r="CW6"/>
  <c r="CU6"/>
  <c r="CS6"/>
  <c r="DC6"/>
  <c r="CO6"/>
  <c r="CM6"/>
  <c r="CK6"/>
  <c r="AH9" i="1"/>
  <c r="AH17" i="4"/>
  <c r="AI17"/>
  <c r="AH31" i="1"/>
  <c r="AH34" i="4"/>
  <c r="AH28" i="1"/>
  <c r="AH33" i="4"/>
  <c r="AH25" i="1"/>
  <c r="AH32" i="4"/>
  <c r="AH22" i="1"/>
  <c r="AH31" i="4"/>
  <c r="AH19" i="1"/>
  <c r="AH30" i="4"/>
  <c r="AH16" i="1"/>
  <c r="AH29" i="4"/>
  <c r="AH13" i="1"/>
  <c r="AH28" i="4"/>
  <c r="AH10" i="1"/>
  <c r="AH27" i="4"/>
  <c r="AH32" i="1"/>
  <c r="AH26" i="4"/>
  <c r="AH7" i="1"/>
  <c r="AH25" i="4"/>
  <c r="AH30" i="1"/>
  <c r="AH24" i="4"/>
  <c r="AH27" i="1"/>
  <c r="AH23" i="4"/>
  <c r="AH24" i="1"/>
  <c r="AH22" i="4"/>
  <c r="AH21" i="1"/>
  <c r="AH21" i="4"/>
  <c r="AH18" i="1"/>
  <c r="AH20" i="4"/>
  <c r="AH15" i="1"/>
  <c r="AH19" i="4"/>
  <c r="AH12" i="1"/>
  <c r="AH18" i="4"/>
  <c r="AH6" i="1"/>
  <c r="AH16" i="4"/>
  <c r="DA143" i="2"/>
  <c r="CY143"/>
  <c r="CW143"/>
  <c r="CU143"/>
  <c r="CS143"/>
  <c r="DC143"/>
  <c r="CO143"/>
  <c r="CM143"/>
  <c r="CK143"/>
  <c r="DA116"/>
  <c r="CY116"/>
  <c r="CW116"/>
  <c r="CU116"/>
  <c r="CS116"/>
  <c r="DC116"/>
  <c r="CO116"/>
  <c r="CM116"/>
  <c r="CK116"/>
  <c r="AD80"/>
  <c r="AD72"/>
  <c r="AD91"/>
  <c r="AD71"/>
  <c r="AD61"/>
  <c r="AD86"/>
  <c r="AD50"/>
  <c r="AD74"/>
  <c r="AD92"/>
  <c r="AD43"/>
  <c r="AD47"/>
  <c r="AD96"/>
  <c r="AD83"/>
  <c r="AD77"/>
  <c r="AD87"/>
  <c r="AD49"/>
  <c r="AD54"/>
  <c r="AD41"/>
  <c r="AD66"/>
  <c r="AD51"/>
  <c r="AD62"/>
  <c r="AD114"/>
  <c r="AD113"/>
  <c r="AD112"/>
  <c r="AD111"/>
  <c r="AD110"/>
  <c r="AD109"/>
  <c r="AD108"/>
  <c r="AD107"/>
  <c r="AD106"/>
  <c r="AD105"/>
  <c r="AD104"/>
  <c r="AD103"/>
  <c r="AD102"/>
  <c r="AD101"/>
  <c r="AD100"/>
  <c r="AD99"/>
  <c r="AD98"/>
  <c r="AD97"/>
  <c r="AD95"/>
  <c r="AD94"/>
  <c r="AD93"/>
  <c r="AD90"/>
  <c r="AD89"/>
  <c r="AD88"/>
  <c r="AD85"/>
  <c r="AD84"/>
  <c r="AD82"/>
  <c r="AD81"/>
  <c r="AD79"/>
  <c r="AD78"/>
  <c r="AD76"/>
  <c r="AD75"/>
  <c r="AD73"/>
  <c r="AD70"/>
  <c r="AD69"/>
  <c r="AD68"/>
  <c r="AD67"/>
  <c r="AD65"/>
  <c r="AD64"/>
  <c r="AD63"/>
  <c r="AD60"/>
  <c r="AD59"/>
  <c r="AD58"/>
  <c r="AD57"/>
  <c r="AD56"/>
  <c r="AD55"/>
  <c r="AD53"/>
  <c r="AD52"/>
  <c r="AD48"/>
  <c r="AD46"/>
  <c r="AD45"/>
  <c r="AD44"/>
  <c r="AD42"/>
  <c r="AC80"/>
  <c r="AC72"/>
  <c r="AC91"/>
  <c r="AC71"/>
  <c r="AC61"/>
  <c r="AC86"/>
  <c r="AC50"/>
  <c r="AC74"/>
  <c r="AC92"/>
  <c r="AC43"/>
  <c r="AC47"/>
  <c r="AC96"/>
  <c r="AC83"/>
  <c r="AC77"/>
  <c r="AC87"/>
  <c r="AC49"/>
  <c r="AC54"/>
  <c r="AC41"/>
  <c r="AC66"/>
  <c r="AC51"/>
  <c r="AC62"/>
  <c r="AC114"/>
  <c r="AC113"/>
  <c r="AC112"/>
  <c r="AC111"/>
  <c r="AC110"/>
  <c r="AC109"/>
  <c r="AC108"/>
  <c r="AC107"/>
  <c r="AC106"/>
  <c r="AC105"/>
  <c r="AC104"/>
  <c r="AC103"/>
  <c r="AC102"/>
  <c r="AC101"/>
  <c r="AC100"/>
  <c r="AC99"/>
  <c r="AC98"/>
  <c r="AC97"/>
  <c r="AC95"/>
  <c r="AC94"/>
  <c r="AC93"/>
  <c r="AC90"/>
  <c r="AC89"/>
  <c r="AC88"/>
  <c r="AC85"/>
  <c r="AC84"/>
  <c r="AC82"/>
  <c r="AC81"/>
  <c r="AC79"/>
  <c r="AC78"/>
  <c r="AC76"/>
  <c r="AC75"/>
  <c r="AC73"/>
  <c r="AC70"/>
  <c r="AC69"/>
  <c r="AC68"/>
  <c r="AC67"/>
  <c r="AC65"/>
  <c r="AC64"/>
  <c r="AC63"/>
  <c r="AC60"/>
  <c r="AC59"/>
  <c r="AC58"/>
  <c r="AC57"/>
  <c r="AC56"/>
  <c r="AC55"/>
  <c r="AC53"/>
  <c r="AC52"/>
  <c r="AC48"/>
  <c r="AC46"/>
  <c r="AC45"/>
  <c r="AC44"/>
  <c r="AC42"/>
  <c r="AK1"/>
  <c r="AL1"/>
  <c r="AA65"/>
  <c r="AB65"/>
  <c r="AA68"/>
  <c r="AB68"/>
  <c r="AA69"/>
  <c r="AB69"/>
  <c r="AA79"/>
  <c r="AB79"/>
  <c r="AA86"/>
  <c r="AB86"/>
  <c r="DA5"/>
  <c r="CY5"/>
  <c r="CW5"/>
  <c r="CU5"/>
  <c r="CS5"/>
  <c r="DC5"/>
  <c r="CO5"/>
  <c r="CM5"/>
  <c r="CK5"/>
  <c r="DA70"/>
  <c r="CY70"/>
  <c r="CW70"/>
  <c r="CU70"/>
  <c r="CS70"/>
  <c r="DC70"/>
  <c r="CO70"/>
  <c r="CM70"/>
  <c r="CK70"/>
  <c r="R47"/>
  <c r="R83"/>
  <c r="R77"/>
  <c r="R49"/>
  <c r="R54"/>
  <c r="R65"/>
  <c r="R84"/>
  <c r="R81"/>
  <c r="R69"/>
  <c r="R67"/>
  <c r="R45"/>
  <c r="R44"/>
  <c r="R55"/>
  <c r="DA12"/>
  <c r="CY12"/>
  <c r="CW12"/>
  <c r="CU12"/>
  <c r="CS12"/>
  <c r="DC12"/>
  <c r="CO12"/>
  <c r="CM12"/>
  <c r="CK12"/>
  <c r="DA13"/>
  <c r="CY13"/>
  <c r="CW13"/>
  <c r="CU13"/>
  <c r="CS13"/>
  <c r="DC13"/>
  <c r="CO13"/>
  <c r="CM13"/>
  <c r="CK13"/>
  <c r="DA24"/>
  <c r="CY24"/>
  <c r="CW24"/>
  <c r="CU24"/>
  <c r="CS24"/>
  <c r="DC24"/>
  <c r="CO24"/>
  <c r="CM24"/>
  <c r="CK24"/>
  <c r="DA25"/>
  <c r="CY25"/>
  <c r="CW25"/>
  <c r="CU25"/>
  <c r="CS25"/>
  <c r="DC25"/>
  <c r="CO25"/>
  <c r="CM25"/>
  <c r="CK25"/>
  <c r="DA27"/>
  <c r="CY27"/>
  <c r="CW27"/>
  <c r="CU27"/>
  <c r="CS27"/>
  <c r="DC27"/>
  <c r="CO27"/>
  <c r="CM27"/>
  <c r="CK27"/>
  <c r="DA28"/>
  <c r="CY28"/>
  <c r="CW28"/>
  <c r="CU28"/>
  <c r="CS28"/>
  <c r="DC28"/>
  <c r="CO28"/>
  <c r="CM28"/>
  <c r="CK28"/>
  <c r="DA30"/>
  <c r="CY30"/>
  <c r="CW30"/>
  <c r="CU30"/>
  <c r="CS30"/>
  <c r="DC30"/>
  <c r="CO30"/>
  <c r="CM30"/>
  <c r="CK30"/>
  <c r="DA31"/>
  <c r="CY31"/>
  <c r="CW31"/>
  <c r="CU31"/>
  <c r="CS31"/>
  <c r="DC31"/>
  <c r="CO31"/>
  <c r="CM31"/>
  <c r="CK31"/>
  <c r="DA145"/>
  <c r="CY145"/>
  <c r="CW145"/>
  <c r="CU145"/>
  <c r="CS145"/>
  <c r="DC145"/>
  <c r="CO145"/>
  <c r="CM145"/>
  <c r="CK145"/>
  <c r="F80"/>
  <c r="F83"/>
  <c r="F82"/>
  <c r="F81"/>
  <c r="F79"/>
  <c r="F78"/>
  <c r="F77"/>
  <c r="F54"/>
  <c r="F53"/>
  <c r="F52"/>
  <c r="F51"/>
  <c r="F50"/>
  <c r="F49"/>
  <c r="F48"/>
  <c r="F47"/>
  <c r="F59"/>
  <c r="F58"/>
  <c r="F57"/>
  <c r="F56"/>
  <c r="F55"/>
  <c r="F62"/>
  <c r="F61"/>
  <c r="F60"/>
  <c r="F66"/>
  <c r="F65"/>
  <c r="F64"/>
  <c r="F63"/>
  <c r="F69"/>
  <c r="F68"/>
  <c r="F67"/>
  <c r="F73"/>
  <c r="F72"/>
  <c r="F71"/>
  <c r="F70"/>
  <c r="F76"/>
  <c r="F75"/>
  <c r="F74"/>
  <c r="F46"/>
  <c r="F45"/>
  <c r="F44"/>
  <c r="F43"/>
  <c r="F42"/>
  <c r="F41"/>
  <c r="DA11"/>
  <c r="CY11"/>
  <c r="CW11"/>
  <c r="CU11"/>
  <c r="CS11"/>
  <c r="DC11"/>
  <c r="CO11"/>
  <c r="CM11"/>
  <c r="CK11"/>
  <c r="DA23"/>
  <c r="CY23"/>
  <c r="CW23"/>
  <c r="CU23"/>
  <c r="CS23"/>
  <c r="DC23"/>
  <c r="CO23"/>
  <c r="CM23"/>
  <c r="CK23"/>
  <c r="DA26"/>
  <c r="CY26"/>
  <c r="CW26"/>
  <c r="CU26"/>
  <c r="CS26"/>
  <c r="DC26"/>
  <c r="CO26"/>
  <c r="CM26"/>
  <c r="CK26"/>
  <c r="DA29"/>
  <c r="CY29"/>
  <c r="CW29"/>
  <c r="CU29"/>
  <c r="CS29"/>
  <c r="DC29"/>
  <c r="CO29"/>
  <c r="CM29"/>
  <c r="CK29"/>
  <c r="DA93"/>
  <c r="CY93"/>
  <c r="CW93"/>
  <c r="CU93"/>
  <c r="CS93"/>
  <c r="DC93"/>
  <c r="CO93"/>
  <c r="CM93"/>
  <c r="CK93"/>
  <c r="DA106"/>
  <c r="CY106"/>
  <c r="CW106"/>
  <c r="CU106"/>
  <c r="CS106"/>
  <c r="DC106"/>
  <c r="CO106"/>
  <c r="CM106"/>
  <c r="CK106"/>
  <c r="DA111"/>
  <c r="CY111"/>
  <c r="CW111"/>
  <c r="CU111"/>
  <c r="CS111"/>
  <c r="DC111"/>
  <c r="CO111"/>
  <c r="CM111"/>
  <c r="CK111"/>
  <c r="DA112"/>
  <c r="CY112"/>
  <c r="CW112"/>
  <c r="CU112"/>
  <c r="CS112"/>
  <c r="DC112"/>
  <c r="CO112"/>
  <c r="CM112"/>
  <c r="CK112"/>
  <c r="DA117"/>
  <c r="CY117"/>
  <c r="CW117"/>
  <c r="CU117"/>
  <c r="CS117"/>
  <c r="DC117"/>
  <c r="CO117"/>
  <c r="CM117"/>
  <c r="CK117"/>
  <c r="DA150"/>
  <c r="CY150"/>
  <c r="CW150"/>
  <c r="CU150"/>
  <c r="CS150"/>
  <c r="DC150"/>
  <c r="CO150"/>
  <c r="CM150"/>
  <c r="CK150"/>
  <c r="AM16"/>
  <c r="AM17"/>
  <c r="AM18"/>
  <c r="AM19"/>
  <c r="AM20"/>
  <c r="AM21"/>
  <c r="AM22"/>
  <c r="AM100"/>
  <c r="AM32"/>
  <c r="AM33"/>
  <c r="AM34"/>
  <c r="AM83"/>
  <c r="AM84"/>
  <c r="AM97"/>
  <c r="AM99"/>
  <c r="I41"/>
  <c r="I42"/>
  <c r="I43"/>
  <c r="I44"/>
  <c r="I45"/>
  <c r="I46"/>
  <c r="I74"/>
  <c r="I75"/>
  <c r="I76"/>
  <c r="I70"/>
  <c r="I71"/>
  <c r="I72"/>
  <c r="I73"/>
  <c r="I67"/>
  <c r="I68"/>
  <c r="I69"/>
  <c r="I63"/>
  <c r="I64"/>
  <c r="I65"/>
  <c r="I66"/>
  <c r="I60"/>
  <c r="I61"/>
  <c r="I62"/>
  <c r="I55"/>
  <c r="I56"/>
  <c r="I57"/>
  <c r="I58"/>
  <c r="I59"/>
  <c r="I47"/>
  <c r="I48"/>
  <c r="I49"/>
  <c r="I50"/>
  <c r="I51"/>
  <c r="I52"/>
  <c r="I53"/>
  <c r="I54"/>
  <c r="I77"/>
  <c r="I78"/>
  <c r="I79"/>
  <c r="I81"/>
  <c r="I82"/>
  <c r="I83"/>
  <c r="I80"/>
  <c r="DA99"/>
  <c r="CY99"/>
  <c r="CW99"/>
  <c r="CU99"/>
  <c r="CS99"/>
  <c r="DC99"/>
  <c r="CO99"/>
  <c r="CM99"/>
  <c r="CK99"/>
  <c r="DA97"/>
  <c r="CY97"/>
  <c r="CW97"/>
  <c r="CU97"/>
  <c r="CS97"/>
  <c r="DC97"/>
  <c r="CO97"/>
  <c r="CM97"/>
  <c r="CK97"/>
  <c r="DA84"/>
  <c r="CY84"/>
  <c r="CW84"/>
  <c r="CU84"/>
  <c r="CS84"/>
  <c r="DC84"/>
  <c r="CO84"/>
  <c r="CM84"/>
  <c r="CK84"/>
  <c r="DA83"/>
  <c r="CY83"/>
  <c r="CW83"/>
  <c r="CU83"/>
  <c r="CS83"/>
  <c r="DC83"/>
  <c r="CO83"/>
  <c r="CM83"/>
  <c r="CK83"/>
  <c r="DA34"/>
  <c r="CY34"/>
  <c r="CW34"/>
  <c r="CU34"/>
  <c r="CS34"/>
  <c r="DC34"/>
  <c r="CO34"/>
  <c r="CM34"/>
  <c r="CK34"/>
  <c r="DA33"/>
  <c r="CY33"/>
  <c r="CW33"/>
  <c r="CU33"/>
  <c r="CS33"/>
  <c r="DC33"/>
  <c r="CO33"/>
  <c r="CM33"/>
  <c r="CK33"/>
  <c r="DA32"/>
  <c r="CY32"/>
  <c r="CW32"/>
  <c r="CU32"/>
  <c r="CS32"/>
  <c r="DC32"/>
  <c r="CO32"/>
  <c r="CM32"/>
  <c r="CK32"/>
  <c r="DA100"/>
  <c r="CY100"/>
  <c r="CW100"/>
  <c r="CU100"/>
  <c r="CS100"/>
  <c r="DC100"/>
  <c r="CO100"/>
  <c r="CM100"/>
  <c r="CK100"/>
  <c r="DA22"/>
  <c r="CY22"/>
  <c r="CW22"/>
  <c r="CU22"/>
  <c r="CS22"/>
  <c r="DC22"/>
  <c r="CO22"/>
  <c r="CM22"/>
  <c r="CK22"/>
  <c r="DA21"/>
  <c r="CY21"/>
  <c r="CW21"/>
  <c r="CU21"/>
  <c r="CS21"/>
  <c r="DC21"/>
  <c r="CO21"/>
  <c r="CM21"/>
  <c r="CK21"/>
  <c r="DA20"/>
  <c r="CY20"/>
  <c r="CW20"/>
  <c r="CU20"/>
  <c r="CS20"/>
  <c r="DC20"/>
  <c r="CO20"/>
  <c r="CM20"/>
  <c r="CK20"/>
  <c r="DA19"/>
  <c r="CY19"/>
  <c r="CW19"/>
  <c r="CU19"/>
  <c r="CS19"/>
  <c r="DC19"/>
  <c r="CO19"/>
  <c r="CM19"/>
  <c r="CK19"/>
  <c r="DA18"/>
  <c r="CY18"/>
  <c r="CW18"/>
  <c r="CU18"/>
  <c r="CS18"/>
  <c r="DC18"/>
  <c r="CO18"/>
  <c r="CM18"/>
  <c r="CK18"/>
  <c r="DA17"/>
  <c r="CY17"/>
  <c r="CW17"/>
  <c r="CU17"/>
  <c r="CS17"/>
  <c r="DC17"/>
  <c r="CO17"/>
  <c r="CM17"/>
  <c r="CK17"/>
  <c r="DA16"/>
  <c r="CY16"/>
  <c r="CW16"/>
  <c r="CU16"/>
  <c r="CS16"/>
  <c r="DC16"/>
  <c r="CO16"/>
  <c r="CM16"/>
  <c r="CK16"/>
  <c r="H98"/>
  <c r="H97"/>
  <c r="H96"/>
  <c r="H95"/>
  <c r="H94"/>
  <c r="H93"/>
  <c r="H92"/>
  <c r="H91"/>
  <c r="H86"/>
  <c r="H85"/>
  <c r="H84"/>
  <c r="H90"/>
  <c r="H89"/>
  <c r="H88"/>
  <c r="H87"/>
  <c r="AI34" i="4"/>
  <c r="AI33"/>
  <c r="AI32"/>
  <c r="AI31"/>
  <c r="AI30"/>
  <c r="AI29"/>
  <c r="AI28"/>
  <c r="AI27"/>
  <c r="AI26"/>
  <c r="AI25"/>
  <c r="AI24"/>
  <c r="AI23"/>
  <c r="AI22"/>
  <c r="AI21"/>
  <c r="AI20"/>
  <c r="AI19"/>
  <c r="AI18"/>
  <c r="AI16"/>
  <c r="Y80" i="2"/>
  <c r="Y72"/>
  <c r="Y91"/>
  <c r="Y71"/>
  <c r="Y61"/>
  <c r="Y86"/>
  <c r="Y50"/>
  <c r="Y74"/>
  <c r="Y92"/>
  <c r="Y43"/>
  <c r="Y96"/>
  <c r="Y87"/>
  <c r="Y41"/>
  <c r="Y66"/>
  <c r="Y51"/>
  <c r="Y62"/>
  <c r="Y98"/>
  <c r="Y97"/>
  <c r="Y94"/>
  <c r="Y93"/>
  <c r="Y90"/>
  <c r="Y89"/>
  <c r="Y88"/>
  <c r="Y85"/>
  <c r="Y82"/>
  <c r="Y79"/>
  <c r="Y78"/>
  <c r="Y76"/>
  <c r="Y75"/>
  <c r="Y73"/>
  <c r="Y70"/>
  <c r="Y68"/>
  <c r="Y64"/>
  <c r="Y63"/>
  <c r="Y60"/>
  <c r="Y59"/>
  <c r="Y58"/>
  <c r="Y57"/>
  <c r="Y56"/>
  <c r="Y53"/>
  <c r="Y52"/>
  <c r="Y48"/>
  <c r="Y46"/>
  <c r="Y42"/>
  <c r="H80"/>
  <c r="H83"/>
  <c r="H82"/>
  <c r="H81"/>
  <c r="H79"/>
  <c r="H78"/>
  <c r="H77"/>
  <c r="H54"/>
  <c r="H53"/>
  <c r="H52"/>
  <c r="H51"/>
  <c r="H50"/>
  <c r="H49"/>
  <c r="H48"/>
  <c r="H47"/>
  <c r="H59"/>
  <c r="H58"/>
  <c r="H57"/>
  <c r="H56"/>
  <c r="H55"/>
  <c r="H62"/>
  <c r="H61"/>
  <c r="H60"/>
  <c r="H66"/>
  <c r="H65"/>
  <c r="H64"/>
  <c r="H63"/>
  <c r="H69"/>
  <c r="H68"/>
  <c r="H67"/>
  <c r="H73"/>
  <c r="H72"/>
  <c r="H71"/>
  <c r="H70"/>
  <c r="H76"/>
  <c r="H75"/>
  <c r="H74"/>
  <c r="H46"/>
  <c r="H45"/>
  <c r="H44"/>
  <c r="H43"/>
  <c r="H42"/>
  <c r="H41"/>
  <c r="Y47"/>
  <c r="Y83"/>
  <c r="Y77"/>
  <c r="Y49"/>
  <c r="Y54"/>
  <c r="Y65"/>
  <c r="Y84"/>
  <c r="Y81"/>
  <c r="Y69"/>
  <c r="Y67"/>
  <c r="Y45"/>
  <c r="Y44"/>
  <c r="Y55"/>
  <c r="AT7" i="4" l="1"/>
  <c r="N54"/>
  <c r="X54"/>
  <c r="EC49" i="2"/>
  <c r="EC48"/>
  <c r="EC47"/>
  <c r="EC4"/>
  <c r="EC3"/>
  <c r="EC2"/>
  <c r="P52" i="4"/>
  <c r="CJ228" i="2"/>
  <c r="CJ229"/>
  <c r="CJ230"/>
  <c r="CJ322"/>
  <c r="CJ323"/>
  <c r="CI228"/>
  <c r="CI229"/>
  <c r="CI230"/>
  <c r="CI322"/>
  <c r="CI323"/>
  <c r="CH228"/>
  <c r="CH229"/>
  <c r="CH230"/>
  <c r="CH322"/>
  <c r="CH323"/>
  <c r="CG228"/>
  <c r="CG229"/>
  <c r="CG230"/>
  <c r="CG322"/>
  <c r="CG323"/>
  <c r="CF228"/>
  <c r="CF229"/>
  <c r="CF230"/>
  <c r="CF322"/>
  <c r="CF323"/>
  <c r="CE228"/>
  <c r="CE229"/>
  <c r="CE230"/>
  <c r="CE322"/>
  <c r="CE323"/>
  <c r="CD228"/>
  <c r="CD229"/>
  <c r="CD230"/>
  <c r="CD322"/>
  <c r="CD323"/>
  <c r="CC228"/>
  <c r="CC229"/>
  <c r="CC230"/>
  <c r="CC322"/>
  <c r="CC323"/>
  <c r="CB228"/>
  <c r="CB229"/>
  <c r="CB230"/>
  <c r="CB322"/>
  <c r="CB323"/>
  <c r="CA228"/>
  <c r="CA229"/>
  <c r="CA230"/>
  <c r="CA322"/>
  <c r="CA323"/>
  <c r="BZ228"/>
  <c r="BZ229"/>
  <c r="BZ230"/>
  <c r="BZ322"/>
  <c r="BZ323"/>
  <c r="BY228"/>
  <c r="BY229"/>
  <c r="BY230"/>
  <c r="BY322"/>
  <c r="BY323"/>
  <c r="BX228"/>
  <c r="BX229"/>
  <c r="BX230"/>
  <c r="BX322"/>
  <c r="BX323"/>
  <c r="BW228"/>
  <c r="BW229"/>
  <c r="BW230"/>
  <c r="BW322"/>
  <c r="BW323"/>
  <c r="BV228"/>
  <c r="BV229"/>
  <c r="BV230"/>
  <c r="BV322"/>
  <c r="BV323"/>
  <c r="BU228"/>
  <c r="BU229"/>
  <c r="BU230"/>
  <c r="BU322"/>
  <c r="BU323"/>
  <c r="BT228"/>
  <c r="BT229"/>
  <c r="BT230"/>
  <c r="BT322"/>
  <c r="BT323"/>
  <c r="BS228"/>
  <c r="BS229"/>
  <c r="BS230"/>
  <c r="BS322"/>
  <c r="BS323"/>
  <c r="BR228"/>
  <c r="BR229"/>
  <c r="BR230"/>
  <c r="BR322"/>
  <c r="BR323"/>
  <c r="BQ228"/>
  <c r="BQ229"/>
  <c r="BQ230"/>
  <c r="BQ322"/>
  <c r="BQ323"/>
  <c r="BP228"/>
  <c r="BP229"/>
  <c r="BP230"/>
  <c r="BP322"/>
  <c r="BP323"/>
  <c r="BO228"/>
  <c r="BO229"/>
  <c r="BO230"/>
  <c r="BO322"/>
  <c r="BO323"/>
  <c r="BN228"/>
  <c r="BN229"/>
  <c r="BN230"/>
  <c r="BN322"/>
  <c r="BN323"/>
  <c r="BM228"/>
  <c r="BM229"/>
  <c r="BM230"/>
  <c r="BM322"/>
  <c r="BM323"/>
  <c r="BL228"/>
  <c r="BL229"/>
  <c r="BL230"/>
  <c r="BL322"/>
  <c r="BL323"/>
  <c r="BK228"/>
  <c r="BK229"/>
  <c r="BK230"/>
  <c r="BK322"/>
  <c r="BK323"/>
  <c r="BI228"/>
  <c r="BI229"/>
  <c r="BI230"/>
  <c r="BI322"/>
  <c r="BI323"/>
  <c r="BH228"/>
  <c r="BH229"/>
  <c r="BH230"/>
  <c r="BH322"/>
  <c r="BH323"/>
  <c r="BG228"/>
  <c r="BG229"/>
  <c r="BG230"/>
  <c r="BG322"/>
  <c r="BG323"/>
  <c r="BE228"/>
  <c r="BE229"/>
  <c r="BE230"/>
  <c r="BE322"/>
  <c r="BE323"/>
  <c r="BB228"/>
  <c r="BB229"/>
  <c r="BB230"/>
  <c r="BB322"/>
  <c r="BB323"/>
  <c r="AV228"/>
  <c r="AV229"/>
  <c r="AV230"/>
  <c r="AV322"/>
  <c r="AV323"/>
  <c r="AQ228"/>
  <c r="AQ229"/>
  <c r="AQ230"/>
  <c r="AQ322"/>
  <c r="AQ323"/>
  <c r="AR323"/>
  <c r="AR322"/>
  <c r="AR230"/>
  <c r="AR229"/>
  <c r="AR326" s="1"/>
  <c r="AT323"/>
  <c r="AT322"/>
  <c r="AT230"/>
  <c r="AT229"/>
  <c r="AT326" s="1"/>
  <c r="AX323"/>
  <c r="AX322"/>
  <c r="AX230"/>
  <c r="AX229"/>
  <c r="AX326" s="1"/>
  <c r="AZ323"/>
  <c r="AZ322"/>
  <c r="AZ230"/>
  <c r="AZ229"/>
  <c r="AZ326" s="1"/>
  <c r="BD323"/>
  <c r="BD322"/>
  <c r="BD230"/>
  <c r="BD229"/>
  <c r="BD326" s="1"/>
  <c r="BF323"/>
  <c r="BF322"/>
  <c r="BF230"/>
  <c r="BF229"/>
  <c r="BF326" s="1"/>
  <c r="BJ323"/>
  <c r="BJ322"/>
  <c r="BJ230"/>
  <c r="BJ229"/>
  <c r="BJ326" s="1"/>
  <c r="AS323"/>
  <c r="AS322"/>
  <c r="AS230"/>
  <c r="AS229"/>
  <c r="AS326" s="1"/>
  <c r="AU323"/>
  <c r="AU322"/>
  <c r="AU230"/>
  <c r="AU229"/>
  <c r="AU326" s="1"/>
  <c r="AW323"/>
  <c r="AW322"/>
  <c r="AW230"/>
  <c r="AW229"/>
  <c r="AW326" s="1"/>
  <c r="AY323"/>
  <c r="AY322"/>
  <c r="AY230"/>
  <c r="AY229"/>
  <c r="AY326" s="1"/>
  <c r="BA323"/>
  <c r="BA322"/>
  <c r="BA230"/>
  <c r="BA229"/>
  <c r="BA326" s="1"/>
  <c r="BC323"/>
  <c r="BC322"/>
  <c r="BC230"/>
  <c r="BC229"/>
  <c r="BC326" s="1"/>
  <c r="X52" i="4"/>
  <c r="N52"/>
  <c r="N53"/>
  <c r="X53"/>
  <c r="ED47" i="2" l="1"/>
  <c r="AC24" i="4" s="1"/>
  <c r="AD24"/>
  <c r="ED48" i="2"/>
  <c r="AC25" i="4" s="1"/>
  <c r="AD25"/>
  <c r="ED49" i="2"/>
  <c r="AC26" i="4" s="1"/>
  <c r="AD26"/>
  <c r="N6"/>
  <c r="ED2" i="2"/>
  <c r="L6" i="4" s="1"/>
  <c r="N7"/>
  <c r="ED3" i="2"/>
  <c r="L7" i="4" s="1"/>
  <c r="N8"/>
  <c r="ED4" i="2"/>
  <c r="L8" i="4" s="1"/>
  <c r="BC341" i="2"/>
  <c r="H26" i="4" s="1"/>
  <c r="H26" i="1"/>
  <c r="BA341" i="2"/>
  <c r="H23" i="4" s="1"/>
  <c r="H23" i="1"/>
  <c r="AY341" i="2"/>
  <c r="H20" i="4" s="1"/>
  <c r="H20" i="1"/>
  <c r="AW341" i="2"/>
  <c r="H17" i="4" s="1"/>
  <c r="H17" i="1"/>
  <c r="AU341" i="2"/>
  <c r="H14" i="4" s="1"/>
  <c r="H14" i="1"/>
  <c r="AS341" i="2"/>
  <c r="H11" i="4" s="1"/>
  <c r="H11" i="1"/>
  <c r="BJ341" i="2"/>
  <c r="D35" i="4" s="1"/>
  <c r="D35" i="1"/>
  <c r="BF341" i="2"/>
  <c r="D32" i="4" s="1"/>
  <c r="D32" i="1"/>
  <c r="BD341" i="2"/>
  <c r="D29" i="4" s="1"/>
  <c r="D29" i="1"/>
  <c r="AZ341" i="2"/>
  <c r="D23" i="4" s="1"/>
  <c r="D23" i="1"/>
  <c r="AX341" i="2"/>
  <c r="D20" i="4" s="1"/>
  <c r="D20" i="1"/>
  <c r="AT341" i="2"/>
  <c r="D14" i="4" s="1"/>
  <c r="D14" i="1"/>
  <c r="AR341" i="2"/>
  <c r="D11" i="4" s="1"/>
  <c r="D11" i="1"/>
  <c r="AQ326" i="2"/>
  <c r="AV326"/>
  <c r="BB326"/>
  <c r="BE326"/>
  <c r="BG326"/>
  <c r="BH326"/>
  <c r="BI326"/>
  <c r="BK326"/>
  <c r="BL326"/>
  <c r="BM326"/>
  <c r="BN326"/>
  <c r="BO326"/>
  <c r="BP326"/>
  <c r="BQ326"/>
  <c r="BR326"/>
  <c r="BS326"/>
  <c r="BT326"/>
  <c r="BU326"/>
  <c r="BV326"/>
  <c r="BW326"/>
  <c r="BX326"/>
  <c r="BY326"/>
  <c r="BZ326"/>
  <c r="CA326"/>
  <c r="CB326"/>
  <c r="CB341" s="1"/>
  <c r="CC326"/>
  <c r="CD326"/>
  <c r="CE326"/>
  <c r="CF326"/>
  <c r="CG326"/>
  <c r="CG341" s="1"/>
  <c r="AE52" i="4" s="1"/>
  <c r="CH326" i="2"/>
  <c r="CH341" s="1"/>
  <c r="AG55" i="4" s="1"/>
  <c r="AE54" s="1"/>
  <c r="CI326" i="2"/>
  <c r="CJ326"/>
  <c r="CJ341" s="1"/>
  <c r="AM3" l="1"/>
  <c r="CI341"/>
  <c r="AC45" i="1"/>
  <c r="AE45" s="1"/>
  <c r="AC56" i="4"/>
  <c r="CF341" i="2"/>
  <c r="AE41" i="4" s="1"/>
  <c r="AE41" i="1"/>
  <c r="AE38"/>
  <c r="CE341" i="2"/>
  <c r="AE38" i="4" s="1"/>
  <c r="CD341" i="2"/>
  <c r="Z41" i="4" s="1"/>
  <c r="Z41" i="1"/>
  <c r="CC341" i="2"/>
  <c r="Z38" i="4" s="1"/>
  <c r="Z38" i="1"/>
  <c r="CA341" i="2"/>
  <c r="Z32" i="4" s="1"/>
  <c r="Z32" i="1"/>
  <c r="BZ341" i="2"/>
  <c r="W32" i="4" s="1"/>
  <c r="W32" i="1"/>
  <c r="BY341" i="2"/>
  <c r="Z29" i="4" s="1"/>
  <c r="Z29" i="1"/>
  <c r="BX341" i="2"/>
  <c r="W29" i="4" s="1"/>
  <c r="W29" i="1"/>
  <c r="BW341" i="2"/>
  <c r="Z26" i="4" s="1"/>
  <c r="Z26" i="1"/>
  <c r="BV341" i="2"/>
  <c r="W26" i="4" s="1"/>
  <c r="W26" i="1"/>
  <c r="BU341" i="2"/>
  <c r="Z23" i="4" s="1"/>
  <c r="Z23" i="1"/>
  <c r="BT341" i="2"/>
  <c r="W23" i="4" s="1"/>
  <c r="W23" i="1"/>
  <c r="BS341" i="2"/>
  <c r="Z20" i="4" s="1"/>
  <c r="Z20" i="1"/>
  <c r="BR341" i="2"/>
  <c r="W20" i="4" s="1"/>
  <c r="W20" i="1"/>
  <c r="BQ341" i="2"/>
  <c r="Z17" i="4" s="1"/>
  <c r="Z17" i="1"/>
  <c r="BP341" i="2"/>
  <c r="W17" i="4" s="1"/>
  <c r="W17" i="1"/>
  <c r="AW288" i="2" s="1"/>
  <c r="BO341"/>
  <c r="Z14" i="4" s="1"/>
  <c r="Z14" i="1"/>
  <c r="BN341" i="2"/>
  <c r="W14" i="4" s="1"/>
  <c r="W14" i="1"/>
  <c r="BM341" i="2"/>
  <c r="Z11" i="4" s="1"/>
  <c r="Z11" i="1"/>
  <c r="BL341" i="2"/>
  <c r="W11" i="4" s="1"/>
  <c r="W11" i="1"/>
  <c r="BK341" i="2"/>
  <c r="H35" i="4" s="1"/>
  <c r="H35" i="1"/>
  <c r="BI341" i="2"/>
  <c r="Z8" i="4" s="1"/>
  <c r="Z8" i="1"/>
  <c r="BH341" i="2"/>
  <c r="W8" i="4" s="1"/>
  <c r="W8" i="1"/>
  <c r="BG341" i="2"/>
  <c r="H32" i="4" s="1"/>
  <c r="H32" i="1"/>
  <c r="BE341" i="2"/>
  <c r="H29" i="4" s="1"/>
  <c r="H29" i="1"/>
  <c r="D26"/>
  <c r="BB341" i="2"/>
  <c r="D26" i="4" s="1"/>
  <c r="D17" i="1"/>
  <c r="AV341" i="2"/>
  <c r="D17" i="4" s="1"/>
  <c r="AQ341" i="2"/>
  <c r="H8" i="4" s="1"/>
  <c r="H8" i="1"/>
  <c r="DA3" i="2" l="1"/>
  <c r="DB1" s="1"/>
  <c r="CY3"/>
  <c r="CZ1" s="1"/>
  <c r="CW3"/>
  <c r="CX1" s="1"/>
  <c r="CU3"/>
  <c r="CV1" s="1"/>
  <c r="CS3"/>
  <c r="CT1" s="1"/>
  <c r="DC3"/>
  <c r="DD1" s="1"/>
  <c r="CO3"/>
  <c r="CP1" s="1"/>
  <c r="CM3"/>
  <c r="CN1" s="1"/>
  <c r="CK3"/>
  <c r="CL1" s="1"/>
  <c r="Q17" i="1"/>
  <c r="Q17" i="4"/>
  <c r="Q26" i="1"/>
  <c r="Q26" i="4"/>
  <c r="AE20" i="1"/>
  <c r="AE20" i="4"/>
  <c r="AC57"/>
  <c r="AE57" s="1"/>
  <c r="AC58"/>
  <c r="AE58" s="1"/>
  <c r="AE56"/>
  <c r="CL147" i="2" l="1"/>
  <c r="CL53"/>
  <c r="CL57"/>
  <c r="CL146"/>
  <c r="CL145"/>
  <c r="CL144"/>
  <c r="CL143"/>
  <c r="CL142"/>
  <c r="CL141"/>
  <c r="CL140"/>
  <c r="CL139"/>
  <c r="CL138"/>
  <c r="CL137"/>
  <c r="CL136"/>
  <c r="CL135"/>
  <c r="CL134"/>
  <c r="CL133"/>
  <c r="CL132"/>
  <c r="CL131"/>
  <c r="CL130"/>
  <c r="CL129"/>
  <c r="CL128"/>
  <c r="CL127"/>
  <c r="CL126"/>
  <c r="CL125"/>
  <c r="CL124"/>
  <c r="CL123"/>
  <c r="CL122"/>
  <c r="CL121"/>
  <c r="CL120"/>
  <c r="CL119"/>
  <c r="CL118"/>
  <c r="CL117"/>
  <c r="CL116"/>
  <c r="CL115"/>
  <c r="CL114"/>
  <c r="CL113"/>
  <c r="CL112"/>
  <c r="CL111"/>
  <c r="CL110"/>
  <c r="CL109"/>
  <c r="CL108"/>
  <c r="CL107"/>
  <c r="CL106"/>
  <c r="CL105"/>
  <c r="CL104"/>
  <c r="CL103"/>
  <c r="CL102"/>
  <c r="CL101"/>
  <c r="CL100"/>
  <c r="CL99"/>
  <c r="CL98"/>
  <c r="CL97"/>
  <c r="CL96"/>
  <c r="CL95"/>
  <c r="CL94"/>
  <c r="CL93"/>
  <c r="CL92"/>
  <c r="CL91"/>
  <c r="CL90"/>
  <c r="CL89"/>
  <c r="CL88"/>
  <c r="CL87"/>
  <c r="CL86"/>
  <c r="CL85"/>
  <c r="CL84"/>
  <c r="CL83"/>
  <c r="CL82"/>
  <c r="CL81"/>
  <c r="CL80"/>
  <c r="CL79"/>
  <c r="CL78"/>
  <c r="CL77"/>
  <c r="CL76"/>
  <c r="CL75"/>
  <c r="CL74"/>
  <c r="CL73"/>
  <c r="CL72"/>
  <c r="CL71"/>
  <c r="CL70"/>
  <c r="CL69"/>
  <c r="CL68"/>
  <c r="CL67"/>
  <c r="CL66"/>
  <c r="CL65"/>
  <c r="CL64"/>
  <c r="CL63"/>
  <c r="CL62"/>
  <c r="CL61"/>
  <c r="CL60"/>
  <c r="CL59"/>
  <c r="CL58"/>
  <c r="CL56"/>
  <c r="CL55"/>
  <c r="CL54"/>
  <c r="CL52"/>
  <c r="CL51"/>
  <c r="CL50"/>
  <c r="CL49"/>
  <c r="CL48"/>
  <c r="CL47"/>
  <c r="CL46"/>
  <c r="CL45"/>
  <c r="CL44"/>
  <c r="CL43"/>
  <c r="CL42"/>
  <c r="CL41"/>
  <c r="CL40"/>
  <c r="CL39"/>
  <c r="CL38"/>
  <c r="CL37"/>
  <c r="CL36"/>
  <c r="CL35"/>
  <c r="CL34"/>
  <c r="CL33"/>
  <c r="CL32"/>
  <c r="CL31"/>
  <c r="CL30"/>
  <c r="CL29"/>
  <c r="CL28"/>
  <c r="CL27"/>
  <c r="CL26"/>
  <c r="CL25"/>
  <c r="CL24"/>
  <c r="CL23"/>
  <c r="CL22"/>
  <c r="CL21"/>
  <c r="CL20"/>
  <c r="CL19"/>
  <c r="CL18"/>
  <c r="CL17"/>
  <c r="CL16"/>
  <c r="CL15"/>
  <c r="CL14"/>
  <c r="CL13"/>
  <c r="CL12"/>
  <c r="CL11"/>
  <c r="CL10"/>
  <c r="CL9"/>
  <c r="CL8"/>
  <c r="CL7"/>
  <c r="CL6"/>
  <c r="CL5"/>
  <c r="CL4"/>
  <c r="CL3"/>
  <c r="CL2"/>
  <c r="CN147"/>
  <c r="CN2"/>
  <c r="CN3"/>
  <c r="CN4"/>
  <c r="CN5"/>
  <c r="CN6"/>
  <c r="CN7"/>
  <c r="CN8"/>
  <c r="CN9"/>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CN49"/>
  <c r="CN50"/>
  <c r="CN51"/>
  <c r="CN52"/>
  <c r="CN53"/>
  <c r="CN54"/>
  <c r="CN55"/>
  <c r="CN56"/>
  <c r="CN57"/>
  <c r="CN58"/>
  <c r="CN59"/>
  <c r="CN60"/>
  <c r="CN61"/>
  <c r="CN62"/>
  <c r="CN63"/>
  <c r="CN64"/>
  <c r="CN65"/>
  <c r="CN66"/>
  <c r="CN67"/>
  <c r="CN68"/>
  <c r="CN69"/>
  <c r="CN70"/>
  <c r="CN71"/>
  <c r="CN72"/>
  <c r="CN73"/>
  <c r="CN74"/>
  <c r="CN75"/>
  <c r="CN76"/>
  <c r="CN77"/>
  <c r="CN78"/>
  <c r="CN79"/>
  <c r="CN80"/>
  <c r="CN81"/>
  <c r="CN82"/>
  <c r="CN83"/>
  <c r="CN84"/>
  <c r="CN85"/>
  <c r="CN86"/>
  <c r="CN87"/>
  <c r="CN88"/>
  <c r="CN89"/>
  <c r="CN90"/>
  <c r="CN91"/>
  <c r="CN92"/>
  <c r="CN93"/>
  <c r="CN94"/>
  <c r="CN95"/>
  <c r="CN96"/>
  <c r="CN97"/>
  <c r="CN98"/>
  <c r="CN99"/>
  <c r="CN100"/>
  <c r="CN101"/>
  <c r="CN102"/>
  <c r="CN103"/>
  <c r="CN104"/>
  <c r="CN105"/>
  <c r="CN106"/>
  <c r="CN107"/>
  <c r="CN108"/>
  <c r="CN109"/>
  <c r="CN110"/>
  <c r="CN111"/>
  <c r="CN112"/>
  <c r="CN113"/>
  <c r="CN114"/>
  <c r="CN115"/>
  <c r="CN116"/>
  <c r="CN117"/>
  <c r="CN118"/>
  <c r="CN119"/>
  <c r="CN120"/>
  <c r="CN121"/>
  <c r="CN122"/>
  <c r="CN123"/>
  <c r="CN124"/>
  <c r="CN125"/>
  <c r="CN126"/>
  <c r="CN127"/>
  <c r="CN128"/>
  <c r="CN129"/>
  <c r="CN130"/>
  <c r="CN131"/>
  <c r="CN132"/>
  <c r="CN133"/>
  <c r="CN134"/>
  <c r="CN135"/>
  <c r="CN136"/>
  <c r="CN137"/>
  <c r="CN138"/>
  <c r="CN139"/>
  <c r="CN140"/>
  <c r="CN141"/>
  <c r="CN142"/>
  <c r="CN143"/>
  <c r="CN144"/>
  <c r="CN145"/>
  <c r="CN146"/>
  <c r="CP147"/>
  <c r="CP146"/>
  <c r="CP145"/>
  <c r="CP144"/>
  <c r="CP143"/>
  <c r="CP142"/>
  <c r="CP141"/>
  <c r="CP140"/>
  <c r="CP139"/>
  <c r="CP138"/>
  <c r="CP137"/>
  <c r="CP136"/>
  <c r="CP135"/>
  <c r="CP134"/>
  <c r="CP133"/>
  <c r="CP132"/>
  <c r="CP131"/>
  <c r="CP130"/>
  <c r="CP129"/>
  <c r="CP128"/>
  <c r="CP127"/>
  <c r="CP126"/>
  <c r="CP125"/>
  <c r="CP124"/>
  <c r="CP123"/>
  <c r="CP122"/>
  <c r="CP121"/>
  <c r="CP120"/>
  <c r="CP119"/>
  <c r="CP118"/>
  <c r="CP117"/>
  <c r="CP116"/>
  <c r="CP115"/>
  <c r="CP114"/>
  <c r="CP113"/>
  <c r="CP112"/>
  <c r="CP111"/>
  <c r="CP110"/>
  <c r="CP109"/>
  <c r="CP108"/>
  <c r="CP107"/>
  <c r="CP106"/>
  <c r="CP105"/>
  <c r="CP104"/>
  <c r="CP103"/>
  <c r="CP102"/>
  <c r="CP101"/>
  <c r="CP100"/>
  <c r="CP99"/>
  <c r="CP98"/>
  <c r="CP97"/>
  <c r="CP96"/>
  <c r="CP95"/>
  <c r="CP94"/>
  <c r="CP93"/>
  <c r="CP92"/>
  <c r="CP91"/>
  <c r="CP90"/>
  <c r="CP89"/>
  <c r="CP88"/>
  <c r="CP87"/>
  <c r="CP86"/>
  <c r="CP85"/>
  <c r="CP84"/>
  <c r="CP83"/>
  <c r="CP82"/>
  <c r="CP81"/>
  <c r="CP80"/>
  <c r="CP79"/>
  <c r="CP78"/>
  <c r="CP77"/>
  <c r="CP76"/>
  <c r="CP75"/>
  <c r="CP74"/>
  <c r="CP73"/>
  <c r="CP72"/>
  <c r="CP71"/>
  <c r="CP70"/>
  <c r="CP69"/>
  <c r="CP68"/>
  <c r="CP67"/>
  <c r="CP66"/>
  <c r="CP65"/>
  <c r="CP64"/>
  <c r="CP63"/>
  <c r="CP62"/>
  <c r="CP61"/>
  <c r="CP60"/>
  <c r="CP59"/>
  <c r="CP58"/>
  <c r="CP57"/>
  <c r="CP56"/>
  <c r="CP55"/>
  <c r="CP54"/>
  <c r="CP53"/>
  <c r="CP52"/>
  <c r="CP51"/>
  <c r="CP50"/>
  <c r="CP49"/>
  <c r="CP48"/>
  <c r="CP47"/>
  <c r="CP46"/>
  <c r="CP45"/>
  <c r="CP44"/>
  <c r="CP43"/>
  <c r="CP42"/>
  <c r="CP41"/>
  <c r="CP40"/>
  <c r="CP39"/>
  <c r="CP38"/>
  <c r="CP37"/>
  <c r="CP36"/>
  <c r="CP35"/>
  <c r="CP34"/>
  <c r="CP33"/>
  <c r="CP32"/>
  <c r="CP31"/>
  <c r="CP30"/>
  <c r="CP29"/>
  <c r="CP28"/>
  <c r="CP27"/>
  <c r="CP26"/>
  <c r="CP25"/>
  <c r="CP24"/>
  <c r="CP23"/>
  <c r="CP22"/>
  <c r="CP21"/>
  <c r="CP20"/>
  <c r="CP19"/>
  <c r="CP18"/>
  <c r="CP17"/>
  <c r="CP16"/>
  <c r="CP15"/>
  <c r="CP14"/>
  <c r="CP13"/>
  <c r="CP12"/>
  <c r="CP11"/>
  <c r="CP10"/>
  <c r="CP9"/>
  <c r="CP8"/>
  <c r="CP7"/>
  <c r="CP6"/>
  <c r="CP5"/>
  <c r="CP4"/>
  <c r="CP3"/>
  <c r="CP2"/>
  <c r="DD146"/>
  <c r="DD145"/>
  <c r="DD144"/>
  <c r="DD143"/>
  <c r="DD142"/>
  <c r="DD141"/>
  <c r="DD140"/>
  <c r="DD139"/>
  <c r="DD138"/>
  <c r="DD137"/>
  <c r="DD136"/>
  <c r="DD135"/>
  <c r="DD134"/>
  <c r="DD133"/>
  <c r="DD132"/>
  <c r="DD131"/>
  <c r="DD130"/>
  <c r="DD129"/>
  <c r="DD128"/>
  <c r="DD127"/>
  <c r="DD126"/>
  <c r="DD125"/>
  <c r="DD124"/>
  <c r="DD123"/>
  <c r="DD122"/>
  <c r="DD121"/>
  <c r="DD120"/>
  <c r="DD119"/>
  <c r="DD118"/>
  <c r="DD117"/>
  <c r="DD116"/>
  <c r="DD115"/>
  <c r="DD114"/>
  <c r="DD113"/>
  <c r="DD112"/>
  <c r="DD111"/>
  <c r="DD110"/>
  <c r="DD109"/>
  <c r="DD108"/>
  <c r="DD107"/>
  <c r="DD106"/>
  <c r="DD105"/>
  <c r="DD104"/>
  <c r="DD103"/>
  <c r="DD102"/>
  <c r="DD101"/>
  <c r="DD100"/>
  <c r="DD99"/>
  <c r="DD98"/>
  <c r="DD97"/>
  <c r="DD96"/>
  <c r="DD95"/>
  <c r="DD94"/>
  <c r="DD93"/>
  <c r="DD92"/>
  <c r="DD91"/>
  <c r="DD90"/>
  <c r="DD89"/>
  <c r="DD88"/>
  <c r="DD87"/>
  <c r="DD86"/>
  <c r="DD85"/>
  <c r="DD84"/>
  <c r="DD83"/>
  <c r="DD82"/>
  <c r="DD81"/>
  <c r="DD80"/>
  <c r="DD79"/>
  <c r="DD78"/>
  <c r="DD77"/>
  <c r="DD76"/>
  <c r="DD75"/>
  <c r="DD74"/>
  <c r="DD73"/>
  <c r="DD72"/>
  <c r="DD71"/>
  <c r="DD70"/>
  <c r="DD69"/>
  <c r="DD68"/>
  <c r="DD67"/>
  <c r="DD66"/>
  <c r="DD65"/>
  <c r="DD64"/>
  <c r="DD63"/>
  <c r="DD62"/>
  <c r="DD61"/>
  <c r="DD60"/>
  <c r="DD59"/>
  <c r="DD58"/>
  <c r="DD57"/>
  <c r="DD56"/>
  <c r="DD55"/>
  <c r="DD54"/>
  <c r="DD53"/>
  <c r="DD52"/>
  <c r="DD51"/>
  <c r="DD50"/>
  <c r="DD49"/>
  <c r="DD48"/>
  <c r="DD47"/>
  <c r="DD46"/>
  <c r="DD45"/>
  <c r="DD44"/>
  <c r="DD43"/>
  <c r="DD42"/>
  <c r="DD41"/>
  <c r="DD40"/>
  <c r="DD39"/>
  <c r="DD38"/>
  <c r="DD37"/>
  <c r="DD36"/>
  <c r="DD35"/>
  <c r="DD34"/>
  <c r="DD33"/>
  <c r="DD32"/>
  <c r="DD31"/>
  <c r="DD30"/>
  <c r="DD29"/>
  <c r="DD28"/>
  <c r="DD27"/>
  <c r="DD26"/>
  <c r="DD25"/>
  <c r="DD24"/>
  <c r="DD23"/>
  <c r="DD22"/>
  <c r="DD21"/>
  <c r="DD20"/>
  <c r="DD19"/>
  <c r="DD18"/>
  <c r="DD17"/>
  <c r="DD16"/>
  <c r="DD15"/>
  <c r="DD14"/>
  <c r="DD13"/>
  <c r="DD12"/>
  <c r="DD11"/>
  <c r="DD10"/>
  <c r="DD9"/>
  <c r="DD8"/>
  <c r="DD7"/>
  <c r="DD6"/>
  <c r="DD5"/>
  <c r="DD4"/>
  <c r="DD3"/>
  <c r="DD2"/>
  <c r="CT146"/>
  <c r="CT145"/>
  <c r="CT144"/>
  <c r="CT143"/>
  <c r="CT142"/>
  <c r="CT141"/>
  <c r="CT140"/>
  <c r="CT139"/>
  <c r="CT138"/>
  <c r="CT137"/>
  <c r="CT136"/>
  <c r="CT135"/>
  <c r="CT134"/>
  <c r="CT133"/>
  <c r="CT132"/>
  <c r="CT131"/>
  <c r="CT130"/>
  <c r="CT129"/>
  <c r="CT128"/>
  <c r="CT127"/>
  <c r="CT126"/>
  <c r="CT125"/>
  <c r="CT124"/>
  <c r="CT123"/>
  <c r="CT122"/>
  <c r="CT121"/>
  <c r="CT120"/>
  <c r="CT119"/>
  <c r="CT118"/>
  <c r="CT117"/>
  <c r="CT116"/>
  <c r="CT115"/>
  <c r="CT114"/>
  <c r="CT113"/>
  <c r="CT112"/>
  <c r="CT111"/>
  <c r="CT110"/>
  <c r="CT109"/>
  <c r="CT108"/>
  <c r="CT107"/>
  <c r="CT106"/>
  <c r="CT105"/>
  <c r="CT104"/>
  <c r="CT103"/>
  <c r="CT102"/>
  <c r="CT101"/>
  <c r="CT100"/>
  <c r="CT99"/>
  <c r="CT98"/>
  <c r="CT97"/>
  <c r="CT96"/>
  <c r="CT95"/>
  <c r="CT94"/>
  <c r="CT93"/>
  <c r="CT92"/>
  <c r="CT91"/>
  <c r="CT90"/>
  <c r="CT89"/>
  <c r="CT88"/>
  <c r="CT87"/>
  <c r="CT86"/>
  <c r="CT85"/>
  <c r="CT84"/>
  <c r="CT83"/>
  <c r="CT82"/>
  <c r="CT81"/>
  <c r="CT80"/>
  <c r="CT79"/>
  <c r="CT78"/>
  <c r="CT77"/>
  <c r="CT76"/>
  <c r="CT75"/>
  <c r="CT74"/>
  <c r="CT73"/>
  <c r="CT72"/>
  <c r="CT71"/>
  <c r="CT70"/>
  <c r="CT69"/>
  <c r="CT68"/>
  <c r="CT67"/>
  <c r="CT66"/>
  <c r="CT65"/>
  <c r="CT64"/>
  <c r="CT63"/>
  <c r="CT62"/>
  <c r="CT61"/>
  <c r="CT60"/>
  <c r="CT59"/>
  <c r="CT58"/>
  <c r="CT57"/>
  <c r="CT56"/>
  <c r="CT55"/>
  <c r="CT54"/>
  <c r="CT53"/>
  <c r="CT52"/>
  <c r="CT51"/>
  <c r="CT50"/>
  <c r="CT49"/>
  <c r="CT48"/>
  <c r="CT47"/>
  <c r="CT46"/>
  <c r="CT45"/>
  <c r="CT44"/>
  <c r="CT43"/>
  <c r="CT42"/>
  <c r="CT41"/>
  <c r="CT40"/>
  <c r="CT39"/>
  <c r="CT38"/>
  <c r="CT37"/>
  <c r="CT36"/>
  <c r="CT35"/>
  <c r="CT34"/>
  <c r="CT33"/>
  <c r="CT32"/>
  <c r="CT31"/>
  <c r="CT30"/>
  <c r="CT29"/>
  <c r="CT28"/>
  <c r="CT27"/>
  <c r="CT26"/>
  <c r="CT25"/>
  <c r="CT24"/>
  <c r="CT23"/>
  <c r="CT22"/>
  <c r="CT21"/>
  <c r="CT20"/>
  <c r="CT19"/>
  <c r="CT18"/>
  <c r="CT17"/>
  <c r="CT16"/>
  <c r="CT15"/>
  <c r="CT14"/>
  <c r="CT13"/>
  <c r="CT12"/>
  <c r="CT11"/>
  <c r="CT10"/>
  <c r="CT9"/>
  <c r="CT8"/>
  <c r="CT7"/>
  <c r="CT6"/>
  <c r="CT5"/>
  <c r="CT4"/>
  <c r="CT3"/>
  <c r="CT2"/>
  <c r="CT147"/>
  <c r="CV146"/>
  <c r="CV145"/>
  <c r="CV144"/>
  <c r="CV143"/>
  <c r="CV142"/>
  <c r="CV141"/>
  <c r="CV140"/>
  <c r="CV139"/>
  <c r="CV138"/>
  <c r="CV137"/>
  <c r="CV136"/>
  <c r="CV135"/>
  <c r="CV134"/>
  <c r="CV133"/>
  <c r="CV132"/>
  <c r="CV131"/>
  <c r="CV130"/>
  <c r="CV129"/>
  <c r="CV128"/>
  <c r="CV127"/>
  <c r="CV126"/>
  <c r="CV125"/>
  <c r="CV124"/>
  <c r="CV123"/>
  <c r="CV122"/>
  <c r="CV121"/>
  <c r="CV120"/>
  <c r="CV119"/>
  <c r="CV118"/>
  <c r="CV117"/>
  <c r="CV116"/>
  <c r="CV115"/>
  <c r="CV114"/>
  <c r="CV113"/>
  <c r="CV112"/>
  <c r="CV111"/>
  <c r="CV110"/>
  <c r="CV109"/>
  <c r="CV108"/>
  <c r="CV107"/>
  <c r="CV106"/>
  <c r="CV105"/>
  <c r="CV104"/>
  <c r="CV103"/>
  <c r="CV102"/>
  <c r="CV101"/>
  <c r="CV100"/>
  <c r="CV99"/>
  <c r="CV98"/>
  <c r="CV97"/>
  <c r="CV96"/>
  <c r="CV95"/>
  <c r="CV94"/>
  <c r="CV93"/>
  <c r="CV92"/>
  <c r="CV91"/>
  <c r="CV90"/>
  <c r="CV89"/>
  <c r="CV88"/>
  <c r="CV87"/>
  <c r="CV86"/>
  <c r="CV85"/>
  <c r="CV84"/>
  <c r="CV83"/>
  <c r="CV82"/>
  <c r="CV81"/>
  <c r="CV80"/>
  <c r="CV79"/>
  <c r="CV78"/>
  <c r="CV77"/>
  <c r="CV76"/>
  <c r="CV75"/>
  <c r="CV74"/>
  <c r="CV73"/>
  <c r="CV72"/>
  <c r="CV71"/>
  <c r="CV70"/>
  <c r="CV69"/>
  <c r="CV68"/>
  <c r="CV67"/>
  <c r="CV66"/>
  <c r="CV65"/>
  <c r="CV64"/>
  <c r="CV63"/>
  <c r="CV62"/>
  <c r="CV61"/>
  <c r="CV60"/>
  <c r="CV59"/>
  <c r="CV58"/>
  <c r="CV57"/>
  <c r="CV56"/>
  <c r="CV55"/>
  <c r="CV54"/>
  <c r="CV53"/>
  <c r="CV52"/>
  <c r="CV51"/>
  <c r="CV50"/>
  <c r="CV49"/>
  <c r="CV48"/>
  <c r="CV47"/>
  <c r="CV46"/>
  <c r="CV45"/>
  <c r="CV44"/>
  <c r="CV43"/>
  <c r="CV42"/>
  <c r="CV41"/>
  <c r="CV40"/>
  <c r="CV39"/>
  <c r="CV38"/>
  <c r="CV37"/>
  <c r="CV36"/>
  <c r="CV35"/>
  <c r="CV34"/>
  <c r="CV33"/>
  <c r="CV32"/>
  <c r="CV31"/>
  <c r="CV30"/>
  <c r="CV29"/>
  <c r="CV28"/>
  <c r="CV27"/>
  <c r="CV26"/>
  <c r="CV25"/>
  <c r="CV24"/>
  <c r="CV23"/>
  <c r="CV22"/>
  <c r="CV21"/>
  <c r="CV20"/>
  <c r="CV19"/>
  <c r="CV18"/>
  <c r="CV17"/>
  <c r="CV16"/>
  <c r="CV15"/>
  <c r="CV14"/>
  <c r="CV13"/>
  <c r="CV12"/>
  <c r="CV11"/>
  <c r="CV10"/>
  <c r="CV9"/>
  <c r="CV8"/>
  <c r="CV7"/>
  <c r="CV6"/>
  <c r="CV5"/>
  <c r="CV4"/>
  <c r="CV3"/>
  <c r="CV2"/>
  <c r="CX146"/>
  <c r="CX145"/>
  <c r="CX144"/>
  <c r="CX143"/>
  <c r="CX142"/>
  <c r="CX141"/>
  <c r="CX140"/>
  <c r="CX139"/>
  <c r="CX138"/>
  <c r="CX137"/>
  <c r="CX136"/>
  <c r="CX135"/>
  <c r="CX134"/>
  <c r="CX133"/>
  <c r="CX132"/>
  <c r="CX131"/>
  <c r="CX130"/>
  <c r="CX129"/>
  <c r="CX128"/>
  <c r="CX127"/>
  <c r="CX126"/>
  <c r="CX125"/>
  <c r="CX124"/>
  <c r="CX123"/>
  <c r="CX122"/>
  <c r="CX121"/>
  <c r="CX120"/>
  <c r="CX119"/>
  <c r="CX118"/>
  <c r="CX117"/>
  <c r="CX116"/>
  <c r="CX115"/>
  <c r="CX114"/>
  <c r="CX113"/>
  <c r="CX112"/>
  <c r="CX111"/>
  <c r="CX110"/>
  <c r="CX109"/>
  <c r="CX108"/>
  <c r="CX107"/>
  <c r="CX106"/>
  <c r="CX105"/>
  <c r="CX104"/>
  <c r="CX103"/>
  <c r="CX102"/>
  <c r="CX101"/>
  <c r="CX100"/>
  <c r="CX99"/>
  <c r="CX98"/>
  <c r="CX97"/>
  <c r="CX96"/>
  <c r="CX95"/>
  <c r="CX94"/>
  <c r="CX93"/>
  <c r="CX92"/>
  <c r="CX91"/>
  <c r="CX90"/>
  <c r="CX89"/>
  <c r="CX88"/>
  <c r="CX87"/>
  <c r="CX86"/>
  <c r="CX85"/>
  <c r="CX84"/>
  <c r="CX83"/>
  <c r="CX82"/>
  <c r="CX81"/>
  <c r="CX80"/>
  <c r="CX79"/>
  <c r="CX78"/>
  <c r="CX77"/>
  <c r="CX76"/>
  <c r="CX75"/>
  <c r="CX74"/>
  <c r="CX73"/>
  <c r="CX72"/>
  <c r="CX71"/>
  <c r="CX70"/>
  <c r="CX69"/>
  <c r="CX68"/>
  <c r="CX67"/>
  <c r="CX66"/>
  <c r="CX65"/>
  <c r="CX64"/>
  <c r="CX63"/>
  <c r="CX62"/>
  <c r="CX61"/>
  <c r="CX60"/>
  <c r="CX59"/>
  <c r="CX58"/>
  <c r="CX57"/>
  <c r="CX56"/>
  <c r="CX55"/>
  <c r="CX54"/>
  <c r="CX53"/>
  <c r="CX52"/>
  <c r="CX51"/>
  <c r="CX50"/>
  <c r="CX49"/>
  <c r="CX48"/>
  <c r="CX47"/>
  <c r="CX46"/>
  <c r="CX45"/>
  <c r="CX44"/>
  <c r="CX43"/>
  <c r="CX42"/>
  <c r="CX41"/>
  <c r="CX40"/>
  <c r="CX39"/>
  <c r="CX38"/>
  <c r="CX37"/>
  <c r="CX36"/>
  <c r="CX35"/>
  <c r="CX34"/>
  <c r="CX33"/>
  <c r="CX32"/>
  <c r="CX31"/>
  <c r="CX30"/>
  <c r="CX29"/>
  <c r="CX28"/>
  <c r="CX27"/>
  <c r="CX26"/>
  <c r="CX25"/>
  <c r="CX24"/>
  <c r="CX23"/>
  <c r="CX22"/>
  <c r="CX21"/>
  <c r="CX20"/>
  <c r="CX19"/>
  <c r="CX18"/>
  <c r="CX17"/>
  <c r="CX16"/>
  <c r="CX15"/>
  <c r="CX14"/>
  <c r="CX13"/>
  <c r="CX12"/>
  <c r="CX11"/>
  <c r="CX10"/>
  <c r="CX9"/>
  <c r="CX8"/>
  <c r="CX7"/>
  <c r="CX6"/>
  <c r="CX5"/>
  <c r="CX4"/>
  <c r="CX3"/>
  <c r="CX2"/>
  <c r="CZ146"/>
  <c r="CZ145"/>
  <c r="CZ144"/>
  <c r="CZ143"/>
  <c r="CZ142"/>
  <c r="CZ141"/>
  <c r="CZ140"/>
  <c r="CZ139"/>
  <c r="CZ138"/>
  <c r="CZ137"/>
  <c r="CZ136"/>
  <c r="CZ135"/>
  <c r="CZ134"/>
  <c r="CZ133"/>
  <c r="CZ132"/>
  <c r="CZ131"/>
  <c r="CZ130"/>
  <c r="CZ129"/>
  <c r="CZ128"/>
  <c r="CZ127"/>
  <c r="CZ126"/>
  <c r="CZ125"/>
  <c r="CZ124"/>
  <c r="CZ123"/>
  <c r="CZ122"/>
  <c r="CZ121"/>
  <c r="CZ120"/>
  <c r="CZ119"/>
  <c r="CZ118"/>
  <c r="CZ117"/>
  <c r="CZ116"/>
  <c r="CZ115"/>
  <c r="CZ114"/>
  <c r="CZ113"/>
  <c r="CZ112"/>
  <c r="CZ111"/>
  <c r="CZ110"/>
  <c r="CZ109"/>
  <c r="CZ108"/>
  <c r="CZ107"/>
  <c r="CZ106"/>
  <c r="CZ105"/>
  <c r="CZ104"/>
  <c r="CZ103"/>
  <c r="CZ102"/>
  <c r="CZ101"/>
  <c r="CZ100"/>
  <c r="CZ99"/>
  <c r="CZ98"/>
  <c r="CZ97"/>
  <c r="CZ96"/>
  <c r="CZ95"/>
  <c r="CZ94"/>
  <c r="CZ93"/>
  <c r="CZ92"/>
  <c r="CZ91"/>
  <c r="CZ90"/>
  <c r="CZ89"/>
  <c r="CZ88"/>
  <c r="CZ87"/>
  <c r="CZ86"/>
  <c r="CZ85"/>
  <c r="CZ84"/>
  <c r="CZ83"/>
  <c r="CZ82"/>
  <c r="CZ81"/>
  <c r="CZ80"/>
  <c r="CZ79"/>
  <c r="CZ78"/>
  <c r="CZ77"/>
  <c r="CZ76"/>
  <c r="CZ75"/>
  <c r="CZ74"/>
  <c r="CZ73"/>
  <c r="CZ72"/>
  <c r="CZ71"/>
  <c r="CZ70"/>
  <c r="CZ69"/>
  <c r="CZ68"/>
  <c r="CZ67"/>
  <c r="CZ66"/>
  <c r="CZ65"/>
  <c r="CZ64"/>
  <c r="CZ63"/>
  <c r="CZ62"/>
  <c r="CZ61"/>
  <c r="CZ60"/>
  <c r="CZ59"/>
  <c r="CZ58"/>
  <c r="CZ57"/>
  <c r="CZ56"/>
  <c r="CZ55"/>
  <c r="CZ54"/>
  <c r="CZ53"/>
  <c r="CZ52"/>
  <c r="CZ51"/>
  <c r="CZ50"/>
  <c r="CZ49"/>
  <c r="CZ48"/>
  <c r="CZ47"/>
  <c r="CZ46"/>
  <c r="CZ45"/>
  <c r="CZ44"/>
  <c r="CZ43"/>
  <c r="CZ42"/>
  <c r="CZ41"/>
  <c r="CZ40"/>
  <c r="CZ39"/>
  <c r="CZ38"/>
  <c r="CZ37"/>
  <c r="CZ36"/>
  <c r="CZ35"/>
  <c r="CZ34"/>
  <c r="CZ33"/>
  <c r="CZ32"/>
  <c r="CZ31"/>
  <c r="CZ30"/>
  <c r="CZ29"/>
  <c r="CZ28"/>
  <c r="CZ27"/>
  <c r="CZ26"/>
  <c r="CZ25"/>
  <c r="CZ24"/>
  <c r="CZ23"/>
  <c r="CZ22"/>
  <c r="CZ21"/>
  <c r="CZ20"/>
  <c r="CZ19"/>
  <c r="CZ18"/>
  <c r="CZ17"/>
  <c r="CZ16"/>
  <c r="CZ15"/>
  <c r="CZ14"/>
  <c r="CZ13"/>
  <c r="CZ12"/>
  <c r="CZ11"/>
  <c r="CZ10"/>
  <c r="CZ9"/>
  <c r="CZ8"/>
  <c r="CZ7"/>
  <c r="CZ6"/>
  <c r="CZ5"/>
  <c r="CZ4"/>
  <c r="CZ3"/>
  <c r="CZ2"/>
  <c r="DB146"/>
  <c r="DB145"/>
  <c r="DB144"/>
  <c r="DB143"/>
  <c r="DB142"/>
  <c r="DB141"/>
  <c r="DB140"/>
  <c r="DB139"/>
  <c r="DB138"/>
  <c r="DB137"/>
  <c r="DB136"/>
  <c r="DB135"/>
  <c r="DB134"/>
  <c r="DB133"/>
  <c r="DB132"/>
  <c r="DB131"/>
  <c r="DB130"/>
  <c r="DB129"/>
  <c r="DB128"/>
  <c r="DB127"/>
  <c r="DB126"/>
  <c r="DB125"/>
  <c r="DB124"/>
  <c r="DB123"/>
  <c r="DB122"/>
  <c r="DB121"/>
  <c r="DB120"/>
  <c r="DB119"/>
  <c r="DB118"/>
  <c r="DB117"/>
  <c r="DB116"/>
  <c r="DB115"/>
  <c r="DB114"/>
  <c r="DB113"/>
  <c r="DB112"/>
  <c r="DB111"/>
  <c r="DB110"/>
  <c r="DB109"/>
  <c r="DB108"/>
  <c r="DB107"/>
  <c r="DB106"/>
  <c r="DB105"/>
  <c r="DB104"/>
  <c r="DB103"/>
  <c r="DB102"/>
  <c r="DB101"/>
  <c r="DB100"/>
  <c r="DB99"/>
  <c r="DB98"/>
  <c r="DB97"/>
  <c r="DB96"/>
  <c r="DB95"/>
  <c r="DB94"/>
  <c r="DB93"/>
  <c r="DB92"/>
  <c r="DB91"/>
  <c r="DB90"/>
  <c r="DB89"/>
  <c r="DB88"/>
  <c r="DB87"/>
  <c r="DB86"/>
  <c r="DB85"/>
  <c r="DB84"/>
  <c r="DB83"/>
  <c r="DB82"/>
  <c r="DB81"/>
  <c r="DB80"/>
  <c r="DB79"/>
  <c r="DB78"/>
  <c r="DB77"/>
  <c r="DB76"/>
  <c r="DB75"/>
  <c r="DB74"/>
  <c r="DB73"/>
  <c r="DB72"/>
  <c r="DB71"/>
  <c r="DB70"/>
  <c r="DB69"/>
  <c r="DB68"/>
  <c r="DB67"/>
  <c r="DB66"/>
  <c r="DB65"/>
  <c r="DB64"/>
  <c r="DB63"/>
  <c r="DB62"/>
  <c r="DB61"/>
  <c r="DB60"/>
  <c r="DB59"/>
  <c r="DB58"/>
  <c r="DB57"/>
  <c r="DB56"/>
  <c r="DB55"/>
  <c r="DB54"/>
  <c r="DB53"/>
  <c r="DB52"/>
  <c r="DB51"/>
  <c r="DB50"/>
  <c r="DB49"/>
  <c r="DB48"/>
  <c r="DB47"/>
  <c r="DB46"/>
  <c r="DB45"/>
  <c r="DB44"/>
  <c r="DB43"/>
  <c r="DB42"/>
  <c r="DB41"/>
  <c r="DB40"/>
  <c r="DB39"/>
  <c r="DB38"/>
  <c r="DB37"/>
  <c r="DB36"/>
  <c r="DB35"/>
  <c r="DB34"/>
  <c r="DB33"/>
  <c r="DB32"/>
  <c r="DB31"/>
  <c r="DB30"/>
  <c r="DB29"/>
  <c r="DB28"/>
  <c r="DB27"/>
  <c r="DB26"/>
  <c r="DB25"/>
  <c r="DB24"/>
  <c r="DB23"/>
  <c r="DB22"/>
  <c r="DB21"/>
  <c r="DB20"/>
  <c r="DB19"/>
  <c r="DB18"/>
  <c r="DB17"/>
  <c r="DB16"/>
  <c r="DB15"/>
  <c r="DB14"/>
  <c r="DB13"/>
  <c r="DB12"/>
  <c r="DB11"/>
  <c r="DB10"/>
  <c r="DB9"/>
  <c r="DB8"/>
  <c r="DB7"/>
  <c r="DB6"/>
  <c r="DB5"/>
  <c r="DB4"/>
  <c r="DB3"/>
  <c r="DB2"/>
</calcChain>
</file>

<file path=xl/comments1.xml><?xml version="1.0" encoding="utf-8"?>
<comments xmlns="http://schemas.openxmlformats.org/spreadsheetml/2006/main">
  <authors>
    <author>PDack</author>
  </authors>
  <commentList>
    <comment ref="AR38" authorId="0">
      <text>
        <r>
          <rPr>
            <sz val="8"/>
            <color indexed="81"/>
            <rFont val="Book Antiqua"/>
            <family val="1"/>
          </rPr>
          <t>A Flaw assigned to you by the GM, e.g. earned as a result of wounding in combat, does not affect your Destiny Point total, although with your GM's permission, you may be able to spend a Destiny Point to remove it.</t>
        </r>
      </text>
    </comment>
  </commentList>
</comments>
</file>

<file path=xl/sharedStrings.xml><?xml version="1.0" encoding="utf-8"?>
<sst xmlns="http://schemas.openxmlformats.org/spreadsheetml/2006/main" count="2244" uniqueCount="994">
  <si>
    <t>Gain an animal ally, which grants you +1D Fighting when nearby.</t>
  </si>
  <si>
    <t>Improved Armour Mastery</t>
  </si>
  <si>
    <t>+2 on Status tests, 1/day gain +5 to Defences and Passive results</t>
  </si>
  <si>
    <t>Create works of art to earn money or +1D Persuasion.</t>
  </si>
  <si>
    <t>+1 damage per bonus die sacrificed</t>
  </si>
  <si>
    <t>Sacrifice all bonus dice, if you gain 2 degrees you inflict a wound in addition to normal damage.</t>
  </si>
  <si>
    <t>Sacrifice all bonus dice, any damage means opponent wounded, and END vs Fighting result or Maimed.</t>
  </si>
  <si>
    <t>Free attack with injury or wound (no bonus dice). Can fight past death with Formidable Will test.</t>
  </si>
  <si>
    <t>Select one ability of 3 or higher: may re-roll 1 die, once per day. Once per day, +2 to any one test.</t>
  </si>
  <si>
    <t>+2 to Health and on all Endurance tests.</t>
  </si>
  <si>
    <t>Once per combat, +1D Fighting. May re-roll some dice when testing Athletics on or in the water.</t>
  </si>
  <si>
    <t>Combat Defence +2. Re-roll Tactics dice equal to Cunning rank.</t>
  </si>
  <si>
    <t>CharSheet p1 didn't add XP spend on Specialities.</t>
  </si>
  <si>
    <t>Version</t>
  </si>
  <si>
    <t>Issues</t>
  </si>
  <si>
    <t>Changes</t>
  </si>
  <si>
    <t>Amended formula in 'Char Sheet p1'AN3</t>
  </si>
  <si>
    <t>Cannot be automatically compelled by high Status. Add Athletics to passive Endurance for extreme cold.</t>
  </si>
  <si>
    <t>+1 to Status for influencing without fully engaging in Intrigue. +2 Intimidate. +2 passive Endurance vs. Heat.</t>
  </si>
  <si>
    <t>Sacrifice all bonus dice, if hit foe can only take Lesser Action next turn, -1 per degree after the first on all tests</t>
  </si>
  <si>
    <t>Sacrifice all bonus dice, if 3 degrees, opponent prone, Lesser Action only next turn, and Wounded.</t>
  </si>
  <si>
    <t>Greater action, sacrifice bonus dice, attack opponent and gain +1 Defence for every 5 points of test result.</t>
  </si>
  <si>
    <t>Fists are Fast and deal Athletics -2 damage.</t>
  </si>
  <si>
    <t>On hit, if Fighting &gt; opponent's passive Endurance, opponent Stunned.</t>
  </si>
  <si>
    <t>Join the Night Watch. Status drops to 2. Add Cunning to all Survival tests.</t>
  </si>
  <si>
    <t>Join the Night Watch. Status drops to 2. Gain Trade benefit for free.</t>
  </si>
  <si>
    <t>Join the Night Watch. Status drops to 2. Add Stewardship bonus dice to all Persuasion test results.</t>
  </si>
  <si>
    <t>Gain one veteran squad, which automatically rallies or reorganises at the start of each round.</t>
  </si>
  <si>
    <t>Charismatic (Bargain)</t>
  </si>
  <si>
    <t>Charismatic (Charm)</t>
  </si>
  <si>
    <t>Charismatic (Convince)</t>
  </si>
  <si>
    <t>Charismatic (Incite)</t>
  </si>
  <si>
    <t>Charismatic (Intimidate)</t>
  </si>
  <si>
    <t>Charismatic (Seduce)</t>
  </si>
  <si>
    <t>Charismatic (Taunt)</t>
  </si>
  <si>
    <t>Add +2 to result of Persuasion (Bargain) tests</t>
  </si>
  <si>
    <t>Add +2 to result of Persuasion (Charm) tests</t>
  </si>
  <si>
    <t>Add +2 to result of Persuasion (Convince) tests</t>
  </si>
  <si>
    <t>Add +2 to result of Persuasion (Incite) tests</t>
  </si>
  <si>
    <t>Add +2 to result of Persuasion (Intimidate) tests</t>
  </si>
  <si>
    <t>Add +2 to result of Persuasion (Seduce) tests</t>
  </si>
  <si>
    <t>Add +2 to result of Persuasion (Taunt) tests</t>
  </si>
  <si>
    <t>Status 3</t>
  </si>
  <si>
    <t>Loyal ally from your Household, create as if a player character, must have lower Status than you.</t>
  </si>
  <si>
    <t>Compelling (Bargain)</t>
  </si>
  <si>
    <t>Compelling (Charm)</t>
  </si>
  <si>
    <t>Compelling (Convince)</t>
  </si>
  <si>
    <t>Compelling (Incite)</t>
  </si>
  <si>
    <t>Compelling (Intimidate)</t>
  </si>
  <si>
    <t>Compelling (Seduce)</t>
  </si>
  <si>
    <t>Compelling (Taunt)</t>
  </si>
  <si>
    <t>Increase influence with Bargain by 1</t>
  </si>
  <si>
    <t>Increase influence with Charm by 1</t>
  </si>
  <si>
    <t>Increase influence with Convince by 1</t>
  </si>
  <si>
    <t>Increase influence with Incite by 1</t>
  </si>
  <si>
    <t>Increase influence with Intimidate by 1</t>
  </si>
  <si>
    <t>Increase influence with Seduce by 1</t>
  </si>
  <si>
    <t>Increase influence with Taunt by 1</t>
  </si>
  <si>
    <t>Add half of Persuasion rank to Deception tests. Add Cunning rank to resist Read Target action.</t>
  </si>
  <si>
    <t>Reduce weapon reload time (Greater to Lesser, Lesser to Free)</t>
  </si>
  <si>
    <t>Re-roll 1s on Agility for each bonus die in relevant speciality (min. 1 die).</t>
  </si>
  <si>
    <t>Fire two arrows at once, at same or adjacent targets. Roll 2 Marksmanship tests at -1D to each.</t>
  </si>
  <si>
    <t>Opponents take -1D on Convince, Intimidate or Seduce tests.</t>
  </si>
  <si>
    <t>In any intrigue where you have Language 4+, you go first.</t>
  </si>
  <si>
    <t>May convert Charm or Seduce bonus dice into test dice equal to Status. Subtract Status from disguise tests.</t>
  </si>
  <si>
    <t>Greater Action, -2D to deal +4 damage before applying Degrees.</t>
  </si>
  <si>
    <t>Convert half Bonus dice to Test dice on Acrobatics tests.</t>
  </si>
  <si>
    <t>Convert half Bonus dice to Test dice on Balance tests.</t>
  </si>
  <si>
    <t>Convert half Bonus dice to Test dice on Contortions tests.</t>
  </si>
  <si>
    <t>Convert half Bonus dice to Test dice on Dodge tests.</t>
  </si>
  <si>
    <t>Convert half Bonus dice to Test dice on Quickness tests.</t>
  </si>
  <si>
    <t>Gifted Athlete (Acrobatics)</t>
  </si>
  <si>
    <t>Gifted Athlete (Balance)</t>
  </si>
  <si>
    <t>Gifted Athlete (Contortions)</t>
  </si>
  <si>
    <t>Gifted Athlete (Dodge)</t>
  </si>
  <si>
    <t>Gifted Athlete (Quickness)</t>
  </si>
  <si>
    <t>Make a Persuasion test to grant a pool of bonus dice to Students.</t>
  </si>
  <si>
    <t>Add Survival rank to attacks against animals. When hunting, convert 1 Hunt bonus die to Test die.</t>
  </si>
  <si>
    <t>Experience prophetic dreams.</t>
  </si>
  <si>
    <t>Re-roll 1s on Thievery equal to speciality (min. 1 die).</t>
  </si>
  <si>
    <t>Ignore one -1 or -1D penalty on Endurance tests to recover from injuries or wounds.</t>
  </si>
  <si>
    <t>Add Cunning to Household events, re-roll 1s equal to Stewardship on Status tests to generate coin.</t>
  </si>
  <si>
    <t>You command your House. +2 on Status tests.</t>
  </si>
  <si>
    <t>You are heir to your House. If the Head of House dies, swap this quality for Head of House.</t>
  </si>
  <si>
    <t>Acquire a Valyrian Steel Weapon, which confers +1 to hit, damage and 1 free degree of success.</t>
  </si>
  <si>
    <t>Gain extra command per round, sacrifice a command to re-roll test results.</t>
  </si>
  <si>
    <t>Re-roll 1s on Awareness equal to Notice speciality, add Cunning to passive Awareness.</t>
  </si>
  <si>
    <t>+1 Test Die when you use the one selected speciality.</t>
  </si>
  <si>
    <t>When testing Knowledge in chosen area, convert Education dice into Test dice.</t>
  </si>
  <si>
    <t>INJURIES / WOUNDS</t>
  </si>
  <si>
    <r>
      <t>£</t>
    </r>
    <r>
      <rPr>
        <sz val="1"/>
        <rFont val="Wingdings 2"/>
        <family val="1"/>
        <charset val="2"/>
      </rPr>
      <t xml:space="preserve"> </t>
    </r>
    <r>
      <rPr>
        <sz val="11"/>
        <rFont val="Wingdings 2"/>
        <family val="1"/>
        <charset val="2"/>
      </rPr>
      <t>£</t>
    </r>
    <r>
      <rPr>
        <sz val="1"/>
        <rFont val="Wingdings 2"/>
        <family val="1"/>
        <charset val="2"/>
      </rPr>
      <t xml:space="preserve"> </t>
    </r>
    <r>
      <rPr>
        <sz val="11"/>
        <rFont val="Wingdings 2"/>
        <family val="1"/>
        <charset val="2"/>
      </rPr>
      <t>£</t>
    </r>
    <r>
      <rPr>
        <sz val="1"/>
        <rFont val="Wingdings 2"/>
        <family val="1"/>
        <charset val="2"/>
      </rPr>
      <t xml:space="preserve"> </t>
    </r>
    <r>
      <rPr>
        <sz val="11"/>
        <rFont val="Wingdings 2"/>
        <family val="1"/>
        <charset val="2"/>
      </rPr>
      <t>£</t>
    </r>
    <r>
      <rPr>
        <sz val="1"/>
        <rFont val="Wingdings 2"/>
        <family val="1"/>
        <charset val="2"/>
      </rPr>
      <t xml:space="preserve"> </t>
    </r>
    <r>
      <rPr>
        <sz val="11"/>
        <rFont val="Wingdings 2"/>
        <family val="1"/>
        <charset val="2"/>
      </rPr>
      <t xml:space="preserve">£ </t>
    </r>
    <r>
      <rPr>
        <sz val="12"/>
        <rFont val="Wingdings 2"/>
        <family val="1"/>
        <charset val="2"/>
      </rPr>
      <t>§§§§</t>
    </r>
  </si>
  <si>
    <t>You have land and title. You may spend XP to raise your Status, but must heed your lord's call to arms.</t>
  </si>
  <si>
    <t>Once per round, automatically reorganise or rally one routed unit.</t>
  </si>
  <si>
    <t>Sacrifice all bonus dice, if you hit gain a free degree. Opponents parrying weapons have -1 Defence.</t>
  </si>
  <si>
    <t>For every 2 bonus dice sacrificed, move opponent 1 yard on a hit.</t>
  </si>
  <si>
    <t>Sacrifice all bonus dice, if 3 degrees impose Wound and Maimed quality.</t>
  </si>
  <si>
    <t>Re-roll one test per day and keep best result.</t>
  </si>
  <si>
    <t>Add Cunning to all Knowledge and Will results.</t>
  </si>
  <si>
    <t>Status 5. Composure +2. +1 Fighting to protect royal family. Castle-forged equipment. Have no ties to House.</t>
  </si>
  <si>
    <t>Wield 2 handed weapons in one hand, ignore Unwieldy quality of weapons.</t>
  </si>
  <si>
    <t>Endurance 5</t>
  </si>
  <si>
    <t xml:space="preserve">May dispatch ravens to bear messages. </t>
  </si>
  <si>
    <t>Diagnosis gives +2B and +1B/degree. Convert 2B into +1D for Healing. Add Education dice to Healing.</t>
  </si>
  <si>
    <t>Perform using Persuasion to earn 1d6 silvers, +1 silver per degree.</t>
  </si>
  <si>
    <t>Take no penalties due to low light.</t>
  </si>
  <si>
    <t>Take -2 to Fighting test, compare to Defence of all opponents in range to knock them to the ground.</t>
  </si>
  <si>
    <t>Bonus dice are Test dice when pulling riders from mounts. Disarmed on failure.</t>
  </si>
  <si>
    <t>Greater action, if succeed with 2 degrees, opponent pinned, make opposed Strength test to move.</t>
  </si>
  <si>
    <t>Read any language in which you have 1 rank. Can temporarily learn languages you hear or read.</t>
  </si>
  <si>
    <t>Opponents take -1 on Incite, Intimidate and Taunt.</t>
  </si>
  <si>
    <t>Short blades gain +1 Piercing.</t>
  </si>
  <si>
    <t xml:space="preserve">Draw as Free Action, add number of bonus dice to test result. </t>
  </si>
  <si>
    <t>Add number of bonus dice as extra damage, after applying degrees of success.</t>
  </si>
  <si>
    <t>During first round of combat or intrigue, opponents take -1D on Fighting and Persuasion tests against you.</t>
  </si>
  <si>
    <t>When asleep, can take form of your Animal Cohort.</t>
  </si>
  <si>
    <t>As Greater action, make normal attack and if miss, make second attack dealing Athletics -1 damage.</t>
  </si>
  <si>
    <t>+1D on Knockdown attempts, attack foes up to 1 extra yard away.</t>
  </si>
  <si>
    <t>Spears gain Piercing 2.</t>
  </si>
  <si>
    <t xml:space="preserve">You have the favour of an important personage, who will vouch for you. </t>
  </si>
  <si>
    <t>Add bonus dice in Dedication to your Composure.</t>
  </si>
  <si>
    <t>Talented (Warfare)</t>
  </si>
  <si>
    <t>+1 to Agility test results.</t>
  </si>
  <si>
    <t>+1 to Animal Handling test results.</t>
  </si>
  <si>
    <t>+1 to Athletics test results.</t>
  </si>
  <si>
    <t>+1 to Awareness test results.</t>
  </si>
  <si>
    <t>+1 to Cunning test results.</t>
  </si>
  <si>
    <t>+1 to Deception test results.</t>
  </si>
  <si>
    <t>+1 to Endurance test results.</t>
  </si>
  <si>
    <t>+1 to Fighting test results.</t>
  </si>
  <si>
    <t>+1 to Healing test results.</t>
  </si>
  <si>
    <t>+1 to Knowledge test results.</t>
  </si>
  <si>
    <t>+1 to Language test results.</t>
  </si>
  <si>
    <t>+1 to Markmanship test results.</t>
  </si>
  <si>
    <t>+1 to Persuasion test results.</t>
  </si>
  <si>
    <t>+1 to Status test results.</t>
  </si>
  <si>
    <t>+1 to Stealth test results.</t>
  </si>
  <si>
    <t>+1 to Survival test results.</t>
  </si>
  <si>
    <t>+1 to Thievery test results.</t>
  </si>
  <si>
    <t>+1 to Warfare test results.</t>
  </si>
  <si>
    <t>+1 to Will test results.</t>
  </si>
  <si>
    <t>Talented (Agility)</t>
  </si>
  <si>
    <t>Talented (Animal Handling)</t>
  </si>
  <si>
    <t>Talented (Athletics)</t>
  </si>
  <si>
    <t>Talented (Awareness)</t>
  </si>
  <si>
    <t>Talented (Cunning)</t>
  </si>
  <si>
    <t>Talented (Deception)</t>
  </si>
  <si>
    <t>Talented (Endurance)</t>
  </si>
  <si>
    <t>Talented (Fighting)</t>
  </si>
  <si>
    <t>Talented (Healing)</t>
  </si>
  <si>
    <t>Talented (Knowledge)</t>
  </si>
  <si>
    <t>Talented (Language)</t>
  </si>
  <si>
    <t>Talented (Markmanship)</t>
  </si>
  <si>
    <t>Talented (Persuasion)</t>
  </si>
  <si>
    <t>Talented (Status)</t>
  </si>
  <si>
    <t>Talented (Stealth)</t>
  </si>
  <si>
    <t>Talented (Survival)</t>
  </si>
  <si>
    <t>Talented (Thievery)</t>
  </si>
  <si>
    <t>Talented (Will)</t>
  </si>
  <si>
    <t>Add Education to Survival and no movement penalties in chosen terrain.</t>
  </si>
  <si>
    <t>Gain insight from dreams. After full night's sleep, 1 in 6 chance of gaining +1D on a single test.</t>
  </si>
  <si>
    <t>1 in 6 chance of occupying Animal Cohort while asleep. Formidable Will test to chose type of sleep.</t>
  </si>
  <si>
    <t>When jousting, add Tournaments dice to Fighting test and passive Animal Handling.</t>
  </si>
  <si>
    <t>Can craft items for 50% of purchase price. Invest time and money to generate a return on your investment.</t>
  </si>
  <si>
    <t>Fire 3 arrows at once, at same or adjacent target, -2D on each test.</t>
  </si>
  <si>
    <t>Are fostered by your Father's enemy to ensure peace. Immune to negative fortunes of foster house.</t>
  </si>
  <si>
    <t>Add Fighting Rank to active and passive Awareness results.</t>
  </si>
  <si>
    <t>Add Fighting Rank to all Agility results.</t>
  </si>
  <si>
    <t>When wearing armour with 0 Bulk, add Fencing to Combat Defence.</t>
  </si>
  <si>
    <t>Roll Easy Cunning or Status each month to gain 10 Gold Dragons per degree of success.</t>
  </si>
  <si>
    <t>Beastfriend</t>
  </si>
  <si>
    <t>#</t>
  </si>
  <si>
    <t>Specialism</t>
  </si>
  <si>
    <t>Bastard Born</t>
  </si>
  <si>
    <t>-1D on all Persuasion tests to characters of higher Status.</t>
  </si>
  <si>
    <t>Flaw</t>
  </si>
  <si>
    <t>Bound to the Bottle</t>
  </si>
  <si>
    <t>Addicted to alcohol. Formidable Will test to avoid using alcohol to steady your nerves.</t>
  </si>
  <si>
    <t>Childhood Disease</t>
  </si>
  <si>
    <t>-2 Health</t>
  </si>
  <si>
    <t>Craven</t>
  </si>
  <si>
    <t>-1D on Combat and Intrigue. Formidable Will test to remove penalty and gain +1B on all tests.</t>
  </si>
  <si>
    <t>Crippled</t>
  </si>
  <si>
    <t>-2 Movement</t>
  </si>
  <si>
    <t>Cruel Insanity</t>
  </si>
  <si>
    <t xml:space="preserve"> -2D on all Empathy tests. Enemy disposition worsened by 1 step if they recognise you.</t>
  </si>
  <si>
    <t>Cursed</t>
  </si>
  <si>
    <t>1 in 6 chance of Destiny Point having no effect, and the point is wasted.</t>
  </si>
  <si>
    <t>Debt</t>
  </si>
  <si>
    <t>All purchases cost twice the listed amount.</t>
  </si>
  <si>
    <t>Disturbing Habit</t>
  </si>
  <si>
    <t>When recognised, gain +1D Intimidate and -1D on all other Persuasion attempts.</t>
  </si>
  <si>
    <t>Dwarf</t>
  </si>
  <si>
    <t>-1 Movement. -1D on Charm and Seduce.</t>
  </si>
  <si>
    <t>Eunuch</t>
  </si>
  <si>
    <t>-1D on all Persuasion tests, but immune to Seduce. Can sire no children.</t>
  </si>
  <si>
    <t>Fear</t>
  </si>
  <si>
    <t>-1D when in presence of thing you fear. 1 in 6 per round that you can overcome this fear for the encounter.</t>
  </si>
  <si>
    <t>Feeble</t>
  </si>
  <si>
    <t>Cannot make Athletics, Fighting, Agility or Marksmanship tests, but gain +1D Cunning and Knowledge</t>
  </si>
  <si>
    <t>Forgetful</t>
  </si>
  <si>
    <t>Re-roll 6s on Cunning tests.</t>
  </si>
  <si>
    <t>Furious</t>
  </si>
  <si>
    <t>When using Persuasion, first roll must use Intimidate. -2D to all Seduction attempts.</t>
  </si>
  <si>
    <t>Haughty</t>
  </si>
  <si>
    <t>-1 on all Empathy tests. When dealing with someone beneath your station, disposition must be Dislike or worse.</t>
  </si>
  <si>
    <t>Haunted</t>
  </si>
  <si>
    <t>-1D Awareness, but on first round of combat may add number of Memory dice to Fighting test results.</t>
  </si>
  <si>
    <t>Honour-bound</t>
  </si>
  <si>
    <t>Re-roll 6s on Deception tests.</t>
  </si>
  <si>
    <t>Ignoble</t>
  </si>
  <si>
    <t>-1D on Persuasion and Status tests.</t>
  </si>
  <si>
    <t>Impaired Sense - Blind</t>
  </si>
  <si>
    <t>Impaired Sense - Deaf</t>
  </si>
  <si>
    <t>Fail Awareness tests relating to sight. -1 Movement.</t>
  </si>
  <si>
    <t>Fail Awareness tests relating to hearing. -1 Movement.</t>
  </si>
  <si>
    <t>Inept</t>
  </si>
  <si>
    <t>Lascivious</t>
  </si>
  <si>
    <t>Marked</t>
  </si>
  <si>
    <t>Mute</t>
  </si>
  <si>
    <t>Naïve</t>
  </si>
  <si>
    <t>Nemesis</t>
  </si>
  <si>
    <t>Outcast</t>
  </si>
  <si>
    <t>Poor Health</t>
  </si>
  <si>
    <t>Reviled</t>
  </si>
  <si>
    <t>Sickly</t>
  </si>
  <si>
    <t>Supreme Arrogance</t>
  </si>
  <si>
    <t>Threatening</t>
  </si>
  <si>
    <t>Re-roll 6s on Agility tests.</t>
  </si>
  <si>
    <t>During intrigue, first roll must use Seduce. -2D on all Charm attempts.</t>
  </si>
  <si>
    <t>Re-roll 6s on Persuasion tests.</t>
  </si>
  <si>
    <t>Re-roll 6s on Persuasion tests. Half movement, -1D Athletics.</t>
  </si>
  <si>
    <t>Maimed - lost leg</t>
  </si>
  <si>
    <t>Maimed - lost arm</t>
  </si>
  <si>
    <t>Re-roll 6s on Persuasion tests. Cannot use 2-h weapons. -2D on tests requiring two hands.</t>
  </si>
  <si>
    <t>-2D on all Intrigue tests. Opponents have -2D to ascertain your disposition.</t>
  </si>
  <si>
    <t>MOVE / SPRINT</t>
  </si>
  <si>
    <t>Fully Laden</t>
  </si>
  <si>
    <t>Base</t>
  </si>
  <si>
    <t>Armoured</t>
  </si>
  <si>
    <t>Opponents in Intrigue may add their Cunning rank to their Deception test results.</t>
  </si>
  <si>
    <t>You have a destructive enemy who holds you in utter contempt.</t>
  </si>
  <si>
    <t>Permanently reduce Status by two.</t>
  </si>
  <si>
    <t>-3 on Endurance tests to recover from injury.</t>
  </si>
  <si>
    <t>Opponent's disposition is one step worse than normal. -1D on all Status tests.</t>
  </si>
  <si>
    <t>-1D on Endurance tests to resist hazards and ailments.</t>
  </si>
  <si>
    <t>Penalty equal to number of Status dice on all Awareness tests.</t>
  </si>
  <si>
    <t>During intrigue, first roll must use Intimidate. -2D on all Charm and Seduce attempts.</t>
  </si>
  <si>
    <t># Flaws</t>
  </si>
  <si>
    <t>Drawbacks</t>
  </si>
  <si>
    <t>Permitted Benefits</t>
  </si>
  <si>
    <t>Required Flaws</t>
  </si>
  <si>
    <t>Any one Drawback</t>
  </si>
  <si>
    <t>Flaw - Agility, Athletics or Endurance</t>
  </si>
  <si>
    <t>Any one Drawback plus one Flaw</t>
  </si>
  <si>
    <t>Any one Drawback plus 2 Flaws</t>
  </si>
  <si>
    <t>Any one Drawback plus 3 Flaws</t>
  </si>
  <si>
    <t>None Permitted</t>
  </si>
  <si>
    <t>Awareness + Cunning + Status</t>
  </si>
  <si>
    <t>Agi + Ath + Awa + Def Bonus - Armour Pen</t>
  </si>
  <si>
    <t>middleaged</t>
  </si>
  <si>
    <t>old</t>
  </si>
  <si>
    <t>x</t>
  </si>
  <si>
    <t>Benefit</t>
  </si>
  <si>
    <t>Middle Aged Flaw</t>
  </si>
  <si>
    <t>Old Age Flaw</t>
  </si>
  <si>
    <t>General Flaw for all others</t>
  </si>
  <si>
    <t>Very Old Age Flaw (if not Venerable and Feeble)</t>
  </si>
  <si>
    <t>General flaw for all others</t>
  </si>
  <si>
    <t>2h</t>
  </si>
  <si>
    <t>Remaining Flaws</t>
  </si>
  <si>
    <t>General Flaw for all</t>
  </si>
  <si>
    <t>Velnerable Flaw (if not Feeble)</t>
  </si>
  <si>
    <t>Combat Damage</t>
  </si>
  <si>
    <t>Intrigue Damage</t>
  </si>
  <si>
    <t>Extra 1</t>
  </si>
  <si>
    <t>Extra 2</t>
  </si>
  <si>
    <t>Extra 3</t>
  </si>
  <si>
    <t>Flaw - Agility</t>
  </si>
  <si>
    <t>Flaw - Animal Handling</t>
  </si>
  <si>
    <t>Flaw - Athletics</t>
  </si>
  <si>
    <t>Flaw - Awareness</t>
  </si>
  <si>
    <t>Flaw - Cunning</t>
  </si>
  <si>
    <t>Flaw - Deception</t>
  </si>
  <si>
    <t>Flaw - Endurance</t>
  </si>
  <si>
    <t>Flaw - Fighting</t>
  </si>
  <si>
    <t>Flaw - Healing</t>
  </si>
  <si>
    <t>Flaw - Knowledge</t>
  </si>
  <si>
    <t>Flaw - Language</t>
  </si>
  <si>
    <t>Flaw - Persuasion</t>
  </si>
  <si>
    <t>Flaw - Status</t>
  </si>
  <si>
    <t>Flaw - Stealth</t>
  </si>
  <si>
    <t>Flaw - Survival</t>
  </si>
  <si>
    <t>Flaw - Thievery</t>
  </si>
  <si>
    <t>Flaw - Warfare</t>
  </si>
  <si>
    <t>Clumsy: -1D Agility tests.</t>
  </si>
  <si>
    <t>Cruel: -1D Animal Handling tests.</t>
  </si>
  <si>
    <t>Sedentary: -1D Athletics tests.</t>
  </si>
  <si>
    <t>Obtuse: -1D Awareness tests.</t>
  </si>
  <si>
    <t>Dullard: -1D Cunning tests.</t>
  </si>
  <si>
    <t>Flaw - Will</t>
  </si>
  <si>
    <t>Transparent: -1D Deception tests.</t>
  </si>
  <si>
    <t>Frail: -1D Endurance tests.</t>
  </si>
  <si>
    <t>Inept: -1D Fighting tests.</t>
  </si>
  <si>
    <t>Insensitive: -1D Healing tests.</t>
  </si>
  <si>
    <t>Mute: -1D Knowledge tests.</t>
  </si>
  <si>
    <t>Uncultured: -1D Language tests.</t>
  </si>
  <si>
    <t>Unsteady: -1D Markmanship tests.</t>
  </si>
  <si>
    <t>Shy: -1D Persuasion tests.</t>
  </si>
  <si>
    <t>Wretched: -1D Status tests.</t>
  </si>
  <si>
    <t>Obvious: -1D Stealth tests.</t>
  </si>
  <si>
    <t>Pampered: -1D Survival tests.</t>
  </si>
  <si>
    <t>Unsubtle: -1D Thievery tests.</t>
  </si>
  <si>
    <t>Coward: -1D Warfare tests.</t>
  </si>
  <si>
    <t>Brash: -1D Will tests.</t>
  </si>
  <si>
    <t>Flaw - Marksmanship</t>
  </si>
  <si>
    <t>Off-hand</t>
  </si>
  <si>
    <t>Base Destiny Points</t>
  </si>
  <si>
    <t>Remaining Benefits</t>
  </si>
  <si>
    <t>Extra Labels</t>
  </si>
  <si>
    <t>Extra Quality Drop downs</t>
  </si>
  <si>
    <t>Post Char Gen</t>
  </si>
  <si>
    <t>CharGen Complete?</t>
  </si>
  <si>
    <t>☼ ☼ ☼ ☼ ☼ ☼ ☼ ☼</t>
  </si>
  <si>
    <t>Logic</t>
  </si>
  <si>
    <t>Composure</t>
  </si>
  <si>
    <t>Health</t>
  </si>
  <si>
    <t>+</t>
  </si>
  <si>
    <t>Heroic Ability</t>
  </si>
  <si>
    <t>MOVE  /  SPRINT</t>
  </si>
  <si>
    <t>Move</t>
  </si>
  <si>
    <t>Sprint</t>
  </si>
  <si>
    <t>When you win an Intrigue using Charm, increase opponent's disposition by Charm bonus dice (min. 2).</t>
  </si>
  <si>
    <t>Bonus</t>
  </si>
  <si>
    <t>Passive Stealth</t>
  </si>
  <si>
    <t>Passive Awareness</t>
  </si>
  <si>
    <t>Passive Endurance</t>
  </si>
  <si>
    <t>Passive
Awareness</t>
  </si>
  <si>
    <t>Intrigue
Defence</t>
  </si>
  <si>
    <t>Combat
Defence</t>
  </si>
  <si>
    <t>Animal
Handling</t>
  </si>
  <si>
    <t>Brother of Night's Watch (Ranger)</t>
  </si>
  <si>
    <t>Brother of Night's Watch (Builder)</t>
  </si>
  <si>
    <t>Brother of Night's Watch (Steward)</t>
  </si>
  <si>
    <t>TOTAL</t>
  </si>
  <si>
    <r>
      <t></t>
    </r>
    <r>
      <rPr>
        <sz val="4"/>
        <rFont val="Wingdings 2"/>
        <family val="1"/>
        <charset val="2"/>
      </rPr>
      <t xml:space="preserve"> </t>
    </r>
    <r>
      <rPr>
        <sz val="11"/>
        <rFont val="Wingdings 2"/>
        <family val="1"/>
        <charset val="2"/>
      </rPr>
      <t></t>
    </r>
    <r>
      <rPr>
        <sz val="4"/>
        <rFont val="Wingdings 2"/>
        <family val="1"/>
        <charset val="2"/>
      </rPr>
      <t xml:space="preserve"> </t>
    </r>
    <r>
      <rPr>
        <sz val="11"/>
        <rFont val="Wingdings 2"/>
        <family val="1"/>
        <charset val="2"/>
      </rPr>
      <t></t>
    </r>
    <r>
      <rPr>
        <sz val="4"/>
        <rFont val="Wingdings 2"/>
        <family val="1"/>
        <charset val="2"/>
      </rPr>
      <t/>
    </r>
  </si>
  <si>
    <r>
      <t>¯¯¯</t>
    </r>
    <r>
      <rPr>
        <sz val="5"/>
        <rFont val="Wingdings 2"/>
        <family val="1"/>
        <charset val="2"/>
      </rPr>
      <t xml:space="preserve"> </t>
    </r>
    <r>
      <rPr>
        <sz val="11"/>
        <rFont val="Wingdings 2"/>
        <family val="1"/>
        <charset val="2"/>
      </rPr>
      <t>¯¯¯</t>
    </r>
    <r>
      <rPr>
        <sz val="5"/>
        <rFont val="Wingdings 2"/>
        <family val="1"/>
        <charset val="2"/>
      </rPr>
      <t xml:space="preserve"> </t>
    </r>
    <r>
      <rPr>
        <sz val="11"/>
        <rFont val="Wingdings 2"/>
        <family val="1"/>
        <charset val="2"/>
      </rPr>
      <t>¯¯¯</t>
    </r>
  </si>
  <si>
    <r>
      <t>¯¯¯</t>
    </r>
    <r>
      <rPr>
        <sz val="5"/>
        <rFont val="Wingdings 2"/>
        <family val="1"/>
        <charset val="2"/>
      </rPr>
      <t xml:space="preserve"> </t>
    </r>
    <r>
      <rPr>
        <sz val="11"/>
        <rFont val="Wingdings 2"/>
        <family val="1"/>
        <charset val="2"/>
      </rPr>
      <t>¯¯¯</t>
    </r>
    <r>
      <rPr>
        <sz val="5"/>
        <rFont val="Wingdings 2"/>
        <family val="1"/>
        <charset val="2"/>
      </rPr>
      <t xml:space="preserve"> </t>
    </r>
    <r>
      <rPr>
        <sz val="11"/>
        <rFont val="Wingdings 2"/>
        <family val="1"/>
        <charset val="2"/>
      </rPr>
      <t>¯¯¯</t>
    </r>
    <r>
      <rPr>
        <b/>
        <sz val="5"/>
        <rFont val="Wingdings 2"/>
        <family val="1"/>
        <charset val="2"/>
      </rPr>
      <t/>
    </r>
  </si>
  <si>
    <t>Weapons</t>
  </si>
  <si>
    <t>Battleaxe</t>
  </si>
  <si>
    <t>Crowbill</t>
  </si>
  <si>
    <t>Hand Axe</t>
  </si>
  <si>
    <t>Longaxe</t>
  </si>
  <si>
    <t>Mattock</t>
  </si>
  <si>
    <t>Woodsman's Axe</t>
  </si>
  <si>
    <t>Ball and Chain</t>
  </si>
  <si>
    <t>Cudgel / Club</t>
  </si>
  <si>
    <t>Flail</t>
  </si>
  <si>
    <t>Mace</t>
  </si>
  <si>
    <t>Maul</t>
  </si>
  <si>
    <t>Morningstar</t>
  </si>
  <si>
    <t>Quarterstaff</t>
  </si>
  <si>
    <t>Warhammer</t>
  </si>
  <si>
    <t>Fist</t>
  </si>
  <si>
    <t>Gauntlet</t>
  </si>
  <si>
    <t>Improvised</t>
  </si>
  <si>
    <t>Knife</t>
  </si>
  <si>
    <t>Whip</t>
  </si>
  <si>
    <t>Braavosi Blade</t>
  </si>
  <si>
    <t>Left-hand Dagger</t>
  </si>
  <si>
    <t>Small Sword</t>
  </si>
  <si>
    <t>Arakh</t>
  </si>
  <si>
    <t>Bastard Sword</t>
  </si>
  <si>
    <t>Greatsword</t>
  </si>
  <si>
    <t>Longsword</t>
  </si>
  <si>
    <t>Halberd</t>
  </si>
  <si>
    <t>Peasant tool</t>
  </si>
  <si>
    <t>Pole-Axe</t>
  </si>
  <si>
    <t>Buckler</t>
  </si>
  <si>
    <t>Shield</t>
  </si>
  <si>
    <t>Shield, Large</t>
  </si>
  <si>
    <t>Male</t>
  </si>
  <si>
    <t>Shield, Tower</t>
  </si>
  <si>
    <t>Dagger</t>
  </si>
  <si>
    <t>Dirk</t>
  </si>
  <si>
    <t>Stiletto</t>
  </si>
  <si>
    <t>Boar Spear</t>
  </si>
  <si>
    <t>Frog Spear</t>
  </si>
  <si>
    <t>Pike</t>
  </si>
  <si>
    <t>Spear</t>
  </si>
  <si>
    <t>Tourney Lance</t>
  </si>
  <si>
    <t>Trident</t>
  </si>
  <si>
    <t>War Lance</t>
  </si>
  <si>
    <t>Longbow</t>
  </si>
  <si>
    <t>Double-curved bow</t>
  </si>
  <si>
    <t>Hunting bow</t>
  </si>
  <si>
    <t>Crossbow, Heavy</t>
  </si>
  <si>
    <t>Crossbow, Medium</t>
  </si>
  <si>
    <t>Crossbow, Light</t>
  </si>
  <si>
    <t>Crossbow, Myrish</t>
  </si>
  <si>
    <t>Frog Spear (thrown)</t>
  </si>
  <si>
    <t>Hand Axe (thrown)</t>
  </si>
  <si>
    <t>Javelin</t>
  </si>
  <si>
    <t>Throwing Knife</t>
  </si>
  <si>
    <t>Net</t>
  </si>
  <si>
    <t>Sling</t>
  </si>
  <si>
    <t>Spear (thrown)</t>
  </si>
  <si>
    <t>Trident (thrown)</t>
  </si>
  <si>
    <t>Training</t>
  </si>
  <si>
    <t>Test</t>
  </si>
  <si>
    <t>Weapon Specialisms</t>
  </si>
  <si>
    <t>B</t>
  </si>
  <si>
    <t>Skill</t>
  </si>
  <si>
    <t>Marksmanship</t>
  </si>
  <si>
    <t>Hit Modifier</t>
  </si>
  <si>
    <t>Quality</t>
  </si>
  <si>
    <t>Adaptable</t>
  </si>
  <si>
    <t>Range</t>
  </si>
  <si>
    <t>Entangling</t>
  </si>
  <si>
    <t>Grab</t>
  </si>
  <si>
    <t>Impale</t>
  </si>
  <si>
    <t>Mounted</t>
  </si>
  <si>
    <t>Piercing</t>
  </si>
  <si>
    <t>Powerful</t>
  </si>
  <si>
    <t>Reach</t>
  </si>
  <si>
    <t>Reload</t>
  </si>
  <si>
    <t>Shattering</t>
  </si>
  <si>
    <t>Slow</t>
  </si>
  <si>
    <t>Staggering</t>
  </si>
  <si>
    <t>Unwieldy</t>
  </si>
  <si>
    <t>Handed</t>
  </si>
  <si>
    <t>Vicious</t>
  </si>
  <si>
    <t>Weapon Qualities</t>
  </si>
  <si>
    <t>Weapon</t>
  </si>
  <si>
    <t>Dmg</t>
  </si>
  <si>
    <t>Speed</t>
  </si>
  <si>
    <t>Special</t>
  </si>
  <si>
    <t/>
  </si>
  <si>
    <t>Impale, Mounted, Vicious</t>
  </si>
  <si>
    <t>Impale, Set for Charge</t>
  </si>
  <si>
    <t>Defensive</t>
  </si>
  <si>
    <t>athletics</t>
  </si>
  <si>
    <t>agility</t>
  </si>
  <si>
    <t>animal</t>
  </si>
  <si>
    <t>Dmg Ability</t>
  </si>
  <si>
    <t>Mod</t>
  </si>
  <si>
    <t>Improved Mastery</t>
  </si>
  <si>
    <t>Weapon Quality</t>
  </si>
  <si>
    <t>Poor</t>
  </si>
  <si>
    <t>Normal</t>
  </si>
  <si>
    <t>Superior</t>
  </si>
  <si>
    <t>Hit</t>
  </si>
  <si>
    <t>Additional Dmg</t>
  </si>
  <si>
    <t>Avail</t>
  </si>
  <si>
    <t>List</t>
  </si>
  <si>
    <t>LR</t>
  </si>
  <si>
    <t>CR</t>
  </si>
  <si>
    <t>Sprint
Multiple</t>
  </si>
  <si>
    <t>Destiny Awarded</t>
  </si>
  <si>
    <t>XP Remaining</t>
  </si>
  <si>
    <t>Speciality Experience</t>
  </si>
  <si>
    <t>Experience Awarded</t>
  </si>
  <si>
    <t>XP Invested</t>
  </si>
  <si>
    <t>All Specialities</t>
  </si>
  <si>
    <t>Char Gen Specialities</t>
  </si>
  <si>
    <t>XP Specialities</t>
  </si>
  <si>
    <t>Destiny Burned</t>
  </si>
  <si>
    <t>Improved Weapon Mastery</t>
  </si>
  <si>
    <t>BASE MOVEMENT</t>
  </si>
  <si>
    <t>Ability Experience</t>
  </si>
  <si>
    <t>Glossary of Benefits &amp; Drawbacks</t>
  </si>
  <si>
    <t>Bows and Crossbows gain Armour Piercing 1 and Vicious</t>
  </si>
  <si>
    <t>Minimum Age:</t>
  </si>
  <si>
    <t>Ability XP Gains</t>
  </si>
  <si>
    <t>Sum Specialities</t>
  </si>
  <si>
    <t>Passive</t>
  </si>
  <si>
    <t>Max</t>
  </si>
  <si>
    <t>Max Invest</t>
  </si>
  <si>
    <t>Max Level</t>
  </si>
  <si>
    <t>Languages</t>
  </si>
  <si>
    <t>Display</t>
  </si>
  <si>
    <t>New Benefits</t>
  </si>
  <si>
    <t>Specialism Text</t>
  </si>
  <si>
    <t>Electives</t>
  </si>
  <si>
    <t>New Flaws</t>
  </si>
  <si>
    <t>Assigned?</t>
  </si>
  <si>
    <t>Char Gen</t>
  </si>
  <si>
    <t>Qualities List</t>
  </si>
  <si>
    <t>Extra 4</t>
  </si>
  <si>
    <t>Extra 5</t>
  </si>
  <si>
    <t>Extra 6</t>
  </si>
  <si>
    <t>Post Char Gen 1</t>
  </si>
  <si>
    <t>Post Char Gen 2</t>
  </si>
  <si>
    <t>Post Char Gen 3</t>
  </si>
  <si>
    <t>Post Char Gen 4</t>
  </si>
  <si>
    <t>Post Char Gen 5</t>
  </si>
  <si>
    <t>Post Char Gen 6</t>
  </si>
  <si>
    <r>
      <t>A</t>
    </r>
    <r>
      <rPr>
        <b/>
        <sz val="8"/>
        <rFont val="Book Antiqua"/>
        <family val="1"/>
      </rPr>
      <t xml:space="preserve"> </t>
    </r>
    <r>
      <rPr>
        <b/>
        <sz val="12"/>
        <rFont val="Book Antiqua"/>
        <family val="1"/>
      </rPr>
      <t>SONG</t>
    </r>
    <r>
      <rPr>
        <b/>
        <sz val="8"/>
        <rFont val="Book Antiqua"/>
        <family val="1"/>
      </rPr>
      <t xml:space="preserve"> OF
</t>
    </r>
    <r>
      <rPr>
        <b/>
        <sz val="12"/>
        <rFont val="Book Antiqua"/>
        <family val="1"/>
      </rPr>
      <t>ICE</t>
    </r>
    <r>
      <rPr>
        <b/>
        <sz val="8"/>
        <rFont val="Book Antiqua"/>
        <family val="1"/>
      </rPr>
      <t xml:space="preserve"> AND </t>
    </r>
    <r>
      <rPr>
        <b/>
        <sz val="12"/>
        <rFont val="Book Antiqua"/>
        <family val="1"/>
      </rPr>
      <t>FIRE</t>
    </r>
    <r>
      <rPr>
        <b/>
        <sz val="8"/>
        <rFont val="Book Antiqua"/>
        <family val="1"/>
      </rPr>
      <t xml:space="preserve"> 
</t>
    </r>
    <r>
      <rPr>
        <b/>
        <sz val="7"/>
        <rFont val="Book Antiqua"/>
        <family val="1"/>
      </rPr>
      <t>---ROLEPLAYING---</t>
    </r>
  </si>
  <si>
    <t>WOUNDS</t>
  </si>
  <si>
    <t>APPEARANCE</t>
  </si>
  <si>
    <t>HEIGHT</t>
  </si>
  <si>
    <t>EYE COLOUR</t>
  </si>
  <si>
    <t>WEIGHT</t>
  </si>
  <si>
    <t>HAIR COLOUR</t>
  </si>
  <si>
    <t>MANNERISMS</t>
  </si>
  <si>
    <t>DISTINGUISHING FEATURES</t>
  </si>
  <si>
    <t>RETAINERS</t>
  </si>
  <si>
    <t>EQUIPMENT</t>
  </si>
  <si>
    <t>PERSONAL HISTORY</t>
  </si>
  <si>
    <t>ALLIES</t>
  </si>
  <si>
    <t>ENEMIES</t>
  </si>
  <si>
    <t>OATHS</t>
  </si>
  <si>
    <t>HERALDRY</t>
  </si>
  <si>
    <t>PORTRAIT</t>
  </si>
  <si>
    <t>MOTTO</t>
  </si>
  <si>
    <t>Agi + Ath + Awa + Def - Armour</t>
  </si>
  <si>
    <t>-</t>
  </si>
  <si>
    <t>Speciality (10xp/B)</t>
  </si>
  <si>
    <t>Abilities (30xp/D)</t>
  </si>
  <si>
    <t xml:space="preserve">New Destiny Points </t>
  </si>
  <si>
    <t>(50xp each)</t>
  </si>
  <si>
    <t>1.</t>
  </si>
  <si>
    <t>Open the CharGen tab. Use this sheet to create your initial character.</t>
  </si>
  <si>
    <t xml:space="preserve">a. </t>
  </si>
  <si>
    <r>
      <t xml:space="preserve">A </t>
    </r>
    <r>
      <rPr>
        <sz val="22"/>
        <color indexed="9"/>
        <rFont val="Book Antiqua"/>
        <family val="1"/>
      </rPr>
      <t>Song</t>
    </r>
    <r>
      <rPr>
        <sz val="16"/>
        <color indexed="9"/>
        <rFont val="Book Antiqua"/>
        <family val="1"/>
      </rPr>
      <t xml:space="preserve"> of</t>
    </r>
    <r>
      <rPr>
        <sz val="10"/>
        <color indexed="9"/>
        <rFont val="Book Antiqua"/>
        <family val="1"/>
      </rPr>
      <t xml:space="preserve">
</t>
    </r>
    <r>
      <rPr>
        <sz val="26"/>
        <color indexed="9"/>
        <rFont val="Book Antiqua"/>
        <family val="1"/>
      </rPr>
      <t>Ice</t>
    </r>
    <r>
      <rPr>
        <sz val="22"/>
        <color indexed="9"/>
        <rFont val="Book Antiqua"/>
        <family val="1"/>
      </rPr>
      <t xml:space="preserve"> </t>
    </r>
    <r>
      <rPr>
        <sz val="16"/>
        <color indexed="9"/>
        <rFont val="Book Antiqua"/>
        <family val="1"/>
      </rPr>
      <t xml:space="preserve">and </t>
    </r>
    <r>
      <rPr>
        <sz val="26"/>
        <color indexed="9"/>
        <rFont val="Book Antiqua"/>
        <family val="1"/>
      </rPr>
      <t>Fire</t>
    </r>
    <r>
      <rPr>
        <sz val="22"/>
        <color indexed="9"/>
        <rFont val="Book Antiqua"/>
        <family val="1"/>
      </rPr>
      <t xml:space="preserve">
</t>
    </r>
    <r>
      <rPr>
        <sz val="14"/>
        <color indexed="9"/>
        <rFont val="Book Antiqua"/>
        <family val="1"/>
      </rPr>
      <t>— Roleplaying</t>
    </r>
    <r>
      <rPr>
        <sz val="16"/>
        <color indexed="9"/>
        <rFont val="Book Antiqua"/>
        <family val="1"/>
      </rPr>
      <t xml:space="preserve"> </t>
    </r>
    <r>
      <rPr>
        <sz val="14"/>
        <color indexed="9"/>
        <rFont val="Book Antiqua"/>
        <family val="1"/>
      </rPr>
      <t>—</t>
    </r>
  </si>
  <si>
    <t>Benefits and Flaws may have an elective element, such as picking a weapon for Weapon Mastery. These will be selected once character generation is otherwise completed, on 'Char Sheet p1'.</t>
  </si>
  <si>
    <t>Select the tab labelled 'Char Sheet p1'. This contains all of your character details thus far. If for any reason you incorrectly complete the Character Generation sheet, this sheet will not contain any of your Abilities or Specialities. Return to the CharGen tab and double check the information box in the bottom-right hand corner of the CharGen sheet.</t>
  </si>
  <si>
    <t>After you have successfully undertaken some heroic adventures, you will want to improve your abilities. This can be done on the 'Char Sheet p1' tab.</t>
  </si>
  <si>
    <t>Enter the Name, Age, Gender and House of your character.</t>
  </si>
  <si>
    <t xml:space="preserve">b. </t>
  </si>
  <si>
    <t>a.</t>
  </si>
  <si>
    <t>b.</t>
  </si>
  <si>
    <t>c.</t>
  </si>
  <si>
    <t>d.</t>
  </si>
  <si>
    <t>e.</t>
  </si>
  <si>
    <t>The right hand side of the page contains information that will be useful as you create your character, including the Maximum Rank to which you may raise your Abilities, and the amount of Experience you may spend on improving your Specialities.</t>
  </si>
  <si>
    <t>The bottom of the worksheet includes information about how many Benefits you may select, and how many Flaws you must select as a result of your age.</t>
  </si>
  <si>
    <t>2.</t>
  </si>
  <si>
    <t>Begin to create your character</t>
  </si>
  <si>
    <t>The Age Category corresponding to your age will appear on the right-hand side of the sheet. This will impact on your Experience points, Maximum Ability, permitted Benefits and required Flaws.</t>
  </si>
  <si>
    <t>3.</t>
  </si>
  <si>
    <t>Abilities and Specialities</t>
  </si>
  <si>
    <t xml:space="preserve">c. </t>
  </si>
  <si>
    <t>Either failing to spend all of your Experience, or spending more Experience than you have allocated will mean that your character information will not be populated in the main Character Sheet.</t>
  </si>
  <si>
    <t>4.</t>
  </si>
  <si>
    <t>The number of Destiny Points you receive depends on the Age of your character. You may spend these points on Benefits, or save them for use in play.</t>
  </si>
  <si>
    <t>Destiny Points, Benefits and Flaws</t>
  </si>
  <si>
    <t>The number of Benefits you may purchase also depends on the Age of your character, and ranges from zero to three. Purchase benefits by selecting the required quality from the drop-down menus. Your selection may be limited based on your Abilities and your previous choice of Benefits.</t>
  </si>
  <si>
    <t>As a result of your character's age, you may also be required to select one or more Flaws. Select a flaw using the drop down options provided. Some of these Flaws may have to be chosen from a limited selection, to reflect your character's reduced Abilities as a result of aging.</t>
  </si>
  <si>
    <t>You may select additional Flaws, either to earn Destiny Points or to off-set Benefits that you have taken. If you haven't taken all of your mandatory flaws, or your Destiny Point total is below zero, your character information will not be populated in the main Character Sheet.</t>
  </si>
  <si>
    <t>5.</t>
  </si>
  <si>
    <t>6.</t>
  </si>
  <si>
    <r>
      <t>A</t>
    </r>
    <r>
      <rPr>
        <b/>
        <sz val="8"/>
        <rFont val="Book Antiqua"/>
        <family val="1"/>
      </rPr>
      <t xml:space="preserve"> </t>
    </r>
    <r>
      <rPr>
        <b/>
        <sz val="12"/>
        <rFont val="Book Antiqua"/>
        <family val="1"/>
      </rPr>
      <t>SONG</t>
    </r>
    <r>
      <rPr>
        <b/>
        <sz val="8"/>
        <rFont val="Book Antiqua"/>
        <family val="1"/>
      </rPr>
      <t xml:space="preserve"> OF
</t>
    </r>
    <r>
      <rPr>
        <b/>
        <sz val="12"/>
        <rFont val="Book Antiqua"/>
        <family val="1"/>
      </rPr>
      <t>ICE</t>
    </r>
    <r>
      <rPr>
        <b/>
        <sz val="8"/>
        <rFont val="Book Antiqua"/>
        <family val="1"/>
      </rPr>
      <t xml:space="preserve"> AND </t>
    </r>
    <r>
      <rPr>
        <b/>
        <sz val="12"/>
        <rFont val="Book Antiqua"/>
        <family val="1"/>
      </rPr>
      <t>FIRE</t>
    </r>
    <r>
      <rPr>
        <b/>
        <sz val="8"/>
        <rFont val="Book Antiqua"/>
        <family val="1"/>
      </rPr>
      <t xml:space="preserve"> 
—</t>
    </r>
    <r>
      <rPr>
        <b/>
        <sz val="7"/>
        <rFont val="Book Antiqua"/>
        <family val="1"/>
      </rPr>
      <t>ROLEPLAYING</t>
    </r>
    <r>
      <rPr>
        <b/>
        <sz val="7"/>
        <rFont val="Arial"/>
      </rPr>
      <t>—</t>
    </r>
  </si>
  <si>
    <t>PLAYER</t>
  </si>
  <si>
    <t>Once you have completed your Abilities, Specialities, Benefits and Flaws, your basic character generation is complete. If you have completed all  of the steps correctly, the box in the bottom-right of the CharGen sheet will say "Character Generation complete". If not, the box will appear in red and will detail where the errors have occurred.</t>
  </si>
  <si>
    <t>Using Char Sheet p1.</t>
  </si>
  <si>
    <t>This sheet uses a slightly different colour coding system, as this is the sheet you will print out as your main character sheet. Very few of the boxes on this sheet can be typed over. The areas you can enter information are highlighted in yellow.</t>
  </si>
  <si>
    <t>This sheet is also split into two halves. The right hand side is used when you earn experience and want to improve your abilities. The left hand side contains the main character sheet.</t>
  </si>
  <si>
    <t>f.</t>
  </si>
  <si>
    <t>In the table in the bottom left of the character sheet, select the Weapons that your character will be wielding. If you are unarmed, select "None"</t>
  </si>
  <si>
    <t>If appropriate, select the quality of your weapon. If you leave this blank, the sheet will assume you are using a weapon of "normal" quality.</t>
  </si>
  <si>
    <t>7.</t>
  </si>
  <si>
    <t>Gaining Experience</t>
  </si>
  <si>
    <t>By entering values in the yellow boxes provided, you can increase your Abilities, increase or gain new Specialities and buy additional Destiny Points.</t>
  </si>
  <si>
    <t xml:space="preserve">You may also gain additional Benefits and Flaws. Enter these in the boxes toward the bottom of the right hand side of the sheet. </t>
  </si>
  <si>
    <t>g.</t>
  </si>
  <si>
    <t>In the bottom right hand corner of the sheet, use the drop-down box to pick the type of armour your character is wearing. This may affect traits such as Combat Defence and Movement speed. If you are wearing no armour, select "None".</t>
  </si>
  <si>
    <t>Character Generation and Advancement Utility</t>
  </si>
  <si>
    <t>A Song of Ice and Fire Roleplaying © 2009 Green Ronin Publishing. A Song of Ice and Fire © 1996-2009 George R. R. Martin. 
Spreadsheet © PJDack 2009. Permission is granted to freely distribute, subject to prior copyrights. The author does not imply any intellectual property rights relating to the material of either George R.R. Martin or Green Ronin Publishing. This sheet is intended for use of owners of the "A Song of Ice and Fire Roleplaying" game.</t>
  </si>
  <si>
    <t>Instructions for Use</t>
  </si>
  <si>
    <t>Enter the Experience Points you have been awarded in the "Experience Awarded" box in the top right of the sheet. NOTE: This should be the cumulative total, i.e. if you had previously been awarded 100 Experience and are awarded another 100 Experience points, enter "200" in this box.</t>
  </si>
  <si>
    <t>If a Flaw has been allocated to you because of an event in the story, type "y" in the "Assigned" box in the Flaw table. This will ensure that this Flaw does not affect your Destiny Point total.</t>
  </si>
  <si>
    <t>Similarly, if a Benefit has been allocated, select the relevant Benefit but then add 1 to the "Destiny Awarded" tally to reflect that this Benefit does not affect your Destiny Point total.</t>
  </si>
  <si>
    <t>On this worksheet, everything that is WHITE is a box in which you can enter a value. Some of these are entered as numbers (e.g. Ability scores) while others are selected from a drop-down list.</t>
  </si>
  <si>
    <t>The worksheet is on the left-hand side of the page. This contains all of the information that will populate your Character Sheet.</t>
  </si>
  <si>
    <t>Select the level of your Abilities by typing values in the white boxes corresponding to each Ability. You may not exceed your Maximum Ability and no Ability may be lower than 1. The number of Experience Points remaining will be shown on the right-hand side of the sheet.</t>
  </si>
  <si>
    <t>Select the Specialities that you want using the drop-down menus provided, and allocate a value to each Speciality. No Speciality may be higher than the value of its governing Ability. The Experience Points you have to increase Specialities is shown on the right hand side of the worksheet.</t>
  </si>
  <si>
    <t>Completing your character - Electives, Arms and Armour</t>
  </si>
  <si>
    <t>If any of your Benefits or Flaws require you to specify an elective, there will be a bright yellow box under the Qualities heading. Type an appropriate elective, remembering that, if you are electing an Ability or type of Weapon, ensure your spelling matches that used by the worksheet.</t>
  </si>
  <si>
    <t>Your weapons may affect your Movement speed. The Movement rates in the table assume that you are only carrying one bulky weapon at any given time. If this is not the case, you may need to manually adjust your Movement using the rules in the SIFRP rule book.</t>
  </si>
  <si>
    <t>If you have been awarded Destiny Points, or had to burn one or more Destiny points during your adventures, enter these in the corresponding boxes. Again, these must be cumulative totals.</t>
  </si>
  <si>
    <t>Artist</t>
  </si>
  <si>
    <t>AGILITY</t>
  </si>
  <si>
    <t>ANIMAL
HANDLING</t>
  </si>
  <si>
    <t>ABILITY</t>
  </si>
  <si>
    <t>RATING</t>
  </si>
  <si>
    <t>ABILITIES</t>
  </si>
  <si>
    <t>AGE</t>
  </si>
  <si>
    <t>NAME</t>
  </si>
  <si>
    <t>ATHLETICS</t>
  </si>
  <si>
    <t>AWARENESS</t>
  </si>
  <si>
    <t>CUNNING</t>
  </si>
  <si>
    <t>DECEPTION</t>
  </si>
  <si>
    <t>ENDURANCE</t>
  </si>
  <si>
    <t>FIGHTING</t>
  </si>
  <si>
    <t>HEALING</t>
  </si>
  <si>
    <t>LANGUAGE</t>
  </si>
  <si>
    <t>SPECIALITIES</t>
  </si>
  <si>
    <t>KNOWLEDGE</t>
  </si>
  <si>
    <t>MARKS-
MANSHIP</t>
  </si>
  <si>
    <t>PERSUASION</t>
  </si>
  <si>
    <t>STATUS</t>
  </si>
  <si>
    <t>STEALTH</t>
  </si>
  <si>
    <t>SURVIVAL</t>
  </si>
  <si>
    <t>THIEVERY</t>
  </si>
  <si>
    <t>WARFARE</t>
  </si>
  <si>
    <t>WILL</t>
  </si>
  <si>
    <t>GENDER</t>
  </si>
  <si>
    <t>HOUSE</t>
  </si>
  <si>
    <t>QUALITIES</t>
  </si>
  <si>
    <t>INTRIGUE</t>
  </si>
  <si>
    <t>COMBAT</t>
  </si>
  <si>
    <t>INTRIGUE DEFENCE</t>
  </si>
  <si>
    <t>COMBAT DEFENCE</t>
  </si>
  <si>
    <t>HEALTH</t>
  </si>
  <si>
    <t>COMPOSURE</t>
  </si>
  <si>
    <t>WILL RANKS x 3</t>
  </si>
  <si>
    <t>ENDURANCE RANKS x 3</t>
  </si>
  <si>
    <t>DESTINY POINTS</t>
  </si>
  <si>
    <t>ARMOUR</t>
  </si>
  <si>
    <t>WEAPONS</t>
  </si>
  <si>
    <t>Age Category</t>
  </si>
  <si>
    <t>Youth</t>
  </si>
  <si>
    <t>Adolescent</t>
  </si>
  <si>
    <t>Young Adult</t>
  </si>
  <si>
    <t>Adult</t>
  </si>
  <si>
    <t>Middle Aged</t>
  </si>
  <si>
    <t>Old</t>
  </si>
  <si>
    <t>Very Old</t>
  </si>
  <si>
    <t>Venerable</t>
  </si>
  <si>
    <t>Age Range</t>
  </si>
  <si>
    <t>Experience</t>
  </si>
  <si>
    <t>Destiny</t>
  </si>
  <si>
    <t>Flaws</t>
  </si>
  <si>
    <t>Max Rank</t>
  </si>
  <si>
    <t>Rank</t>
  </si>
  <si>
    <t>Cost</t>
  </si>
  <si>
    <t>Speciality XP</t>
  </si>
  <si>
    <t>Max Bens</t>
  </si>
  <si>
    <t>XP Spent</t>
  </si>
  <si>
    <t>Max Ability</t>
  </si>
  <si>
    <t>Agility</t>
  </si>
  <si>
    <t>Acrobatics</t>
  </si>
  <si>
    <t>Balance</t>
  </si>
  <si>
    <t>Contortions</t>
  </si>
  <si>
    <t>Dodge</t>
  </si>
  <si>
    <t>Quickness</t>
  </si>
  <si>
    <t>Animal Handling</t>
  </si>
  <si>
    <t>Charm</t>
  </si>
  <si>
    <t>Drive</t>
  </si>
  <si>
    <t>Ride</t>
  </si>
  <si>
    <t>Train</t>
  </si>
  <si>
    <t>Athletics</t>
  </si>
  <si>
    <t>Climb</t>
  </si>
  <si>
    <t>Jump</t>
  </si>
  <si>
    <t>Run</t>
  </si>
  <si>
    <t>Strength</t>
  </si>
  <si>
    <t>Swim</t>
  </si>
  <si>
    <t>Throw</t>
  </si>
  <si>
    <t>Awareness</t>
  </si>
  <si>
    <t>Empathy</t>
  </si>
  <si>
    <t>Notice</t>
  </si>
  <si>
    <t>Cunning</t>
  </si>
  <si>
    <t>Decipher</t>
  </si>
  <si>
    <t>Memory</t>
  </si>
  <si>
    <t>Deception</t>
  </si>
  <si>
    <t>Act</t>
  </si>
  <si>
    <t>Bluff</t>
  </si>
  <si>
    <t>Cheat</t>
  </si>
  <si>
    <t>Disguise</t>
  </si>
  <si>
    <t>Endurance</t>
  </si>
  <si>
    <t>Resilience</t>
  </si>
  <si>
    <t>Stamina</t>
  </si>
  <si>
    <t>Fighting</t>
  </si>
  <si>
    <t>Axes</t>
  </si>
  <si>
    <t>Bludgeons</t>
  </si>
  <si>
    <t>Brawling</t>
  </si>
  <si>
    <t>Fencing</t>
  </si>
  <si>
    <t>Long Blades</t>
  </si>
  <si>
    <t>Pole-Arms</t>
  </si>
  <si>
    <t>Shields</t>
  </si>
  <si>
    <t>Short Blades</t>
  </si>
  <si>
    <t>Spears</t>
  </si>
  <si>
    <t>Healing</t>
  </si>
  <si>
    <t>Diagnosis</t>
  </si>
  <si>
    <t>Treat Ailment</t>
  </si>
  <si>
    <t>Treat Injury</t>
  </si>
  <si>
    <t>Knowledge</t>
  </si>
  <si>
    <t>Education</t>
  </si>
  <si>
    <t>Research</t>
  </si>
  <si>
    <t>Streetwise</t>
  </si>
  <si>
    <t>Language</t>
  </si>
  <si>
    <t>Markmanship</t>
  </si>
  <si>
    <t>Bows</t>
  </si>
  <si>
    <t>Crossbows</t>
  </si>
  <si>
    <t>Siege</t>
  </si>
  <si>
    <t>Thrown</t>
  </si>
  <si>
    <t>Target Shooting</t>
  </si>
  <si>
    <t>Persuasion</t>
  </si>
  <si>
    <t>Bargain</t>
  </si>
  <si>
    <t>Convince</t>
  </si>
  <si>
    <t>Incite</t>
  </si>
  <si>
    <t>Intimidate</t>
  </si>
  <si>
    <t>Seduce</t>
  </si>
  <si>
    <t>Taunt</t>
  </si>
  <si>
    <t>Status</t>
  </si>
  <si>
    <t>Breeding</t>
  </si>
  <si>
    <t>Reputation</t>
  </si>
  <si>
    <t>Stewardship</t>
  </si>
  <si>
    <t>Tournaments</t>
  </si>
  <si>
    <t>Stealth</t>
  </si>
  <si>
    <t>Blend In</t>
  </si>
  <si>
    <t>Sneak</t>
  </si>
  <si>
    <t>Survival</t>
  </si>
  <si>
    <t>Forage</t>
  </si>
  <si>
    <t>Hunt</t>
  </si>
  <si>
    <t>Orientation</t>
  </si>
  <si>
    <t>Track</t>
  </si>
  <si>
    <t>Thievery</t>
  </si>
  <si>
    <t>Pick Lock</t>
  </si>
  <si>
    <t>Sleight of Hand</t>
  </si>
  <si>
    <t>Steal</t>
  </si>
  <si>
    <t>Warfare</t>
  </si>
  <si>
    <t>Command</t>
  </si>
  <si>
    <t>Strategy</t>
  </si>
  <si>
    <t>Tactics</t>
  </si>
  <si>
    <t>Will</t>
  </si>
  <si>
    <t>Coordinate</t>
  </si>
  <si>
    <t>Courage</t>
  </si>
  <si>
    <t>Dedication</t>
  </si>
  <si>
    <t>Armour</t>
  </si>
  <si>
    <t>Rating</t>
  </si>
  <si>
    <t>Bulk</t>
  </si>
  <si>
    <t>Penalty</t>
  </si>
  <si>
    <t>None</t>
  </si>
  <si>
    <t>Robes</t>
  </si>
  <si>
    <t>Padded</t>
  </si>
  <si>
    <t>Soft Leather</t>
  </si>
  <si>
    <t>Hard Leather</t>
  </si>
  <si>
    <t>Bone</t>
  </si>
  <si>
    <t>Wood</t>
  </si>
  <si>
    <t>Vestments</t>
  </si>
  <si>
    <t>Ring</t>
  </si>
  <si>
    <t>Hide</t>
  </si>
  <si>
    <t>Mail</t>
  </si>
  <si>
    <t>Breastplate</t>
  </si>
  <si>
    <t>Scale</t>
  </si>
  <si>
    <t>Splint</t>
  </si>
  <si>
    <t>Brigandine</t>
  </si>
  <si>
    <t>Half Plate</t>
  </si>
  <si>
    <t>Full Plate</t>
  </si>
  <si>
    <t>Qualities</t>
  </si>
  <si>
    <t>Type</t>
  </si>
  <si>
    <t>Requirement</t>
  </si>
  <si>
    <t>Connections</t>
  </si>
  <si>
    <t>Dexterous</t>
  </si>
  <si>
    <t>Eidetic Memory</t>
  </si>
  <si>
    <t>Evaluation</t>
  </si>
  <si>
    <t>Expertise</t>
  </si>
  <si>
    <t>Face in the Crowd</t>
  </si>
  <si>
    <t>Furtive</t>
  </si>
  <si>
    <t>Gifted Teacher</t>
  </si>
  <si>
    <t>Great Hunter</t>
  </si>
  <si>
    <t>Guttersnipe</t>
  </si>
  <si>
    <t>Hardy</t>
  </si>
  <si>
    <t>Head for Numbers</t>
  </si>
  <si>
    <t>Keen Senses</t>
  </si>
  <si>
    <t>Knowledge Focus</t>
  </si>
  <si>
    <t>Miracle Worker</t>
  </si>
  <si>
    <t>Mummer</t>
  </si>
  <si>
    <t>Polyglot</t>
  </si>
  <si>
    <t>Sinister</t>
  </si>
  <si>
    <t>Terrain Specialist</t>
  </si>
  <si>
    <t>Trade</t>
  </si>
  <si>
    <t>Ability</t>
  </si>
  <si>
    <t>Animal Cohort</t>
  </si>
  <si>
    <t>Cadre</t>
  </si>
  <si>
    <t>Cohort</t>
  </si>
  <si>
    <t>Famous</t>
  </si>
  <si>
    <t>Greensight</t>
  </si>
  <si>
    <t>Head of House</t>
  </si>
  <si>
    <t>Heir</t>
  </si>
  <si>
    <t>Heirloom</t>
  </si>
  <si>
    <t>Landed</t>
  </si>
  <si>
    <t>Lucky</t>
  </si>
  <si>
    <t>Maester</t>
  </si>
  <si>
    <t>Master of Ravens</t>
  </si>
  <si>
    <t>Man of the Kingsguard</t>
  </si>
  <si>
    <t>Night Eyes</t>
  </si>
  <si>
    <t>Pious</t>
  </si>
  <si>
    <t>Fate</t>
  </si>
  <si>
    <t>Streetwise 1B</t>
  </si>
  <si>
    <t>Cunning 2 Memory 1B</t>
  </si>
  <si>
    <t>Knowledge 3</t>
  </si>
  <si>
    <t>Stealth 3 Blend in 1b</t>
  </si>
  <si>
    <t>Stealth 4 sneak 1</t>
  </si>
  <si>
    <t>Athletics 4</t>
  </si>
  <si>
    <t>Knowledge 4, persuasion 3</t>
  </si>
  <si>
    <t>Survival 4</t>
  </si>
  <si>
    <t>Endurance 3 stamina 1b</t>
  </si>
  <si>
    <t>status 3 stewardship 1b</t>
  </si>
  <si>
    <t>awareness 4</t>
  </si>
  <si>
    <t>knowledge 4</t>
  </si>
  <si>
    <t>healing 4</t>
  </si>
  <si>
    <t>persuasion 3</t>
  </si>
  <si>
    <t>cunning 4 decipher 1b</t>
  </si>
  <si>
    <t>Effect</t>
  </si>
  <si>
    <t>+1D on Animal Handling Charm and Train</t>
  </si>
  <si>
    <t>+1D on Knowledge tests in chosen location</t>
  </si>
  <si>
    <t>Memory bonus dice are Test dice</t>
  </si>
  <si>
    <t>Test Cunning to learn about objects</t>
  </si>
  <si>
    <t>Blend In as Free Action, add Cunning rank to Blend In tests</t>
  </si>
  <si>
    <t>Re-roll 1s and add Agility rank to Sneak tests</t>
  </si>
  <si>
    <t>Armour Rating</t>
  </si>
  <si>
    <t>Armour Penalty</t>
  </si>
  <si>
    <t>Gain +1D once per day</t>
  </si>
  <si>
    <t>Animal Handling 3 (Train 1B)</t>
  </si>
  <si>
    <t>Persuasion 5</t>
  </si>
  <si>
    <t>Cunning 5, Will 4, Third Eye</t>
  </si>
  <si>
    <t>Sponsor</t>
  </si>
  <si>
    <t>Cunning 3, Knowledge Focus x 2</t>
  </si>
  <si>
    <t>Animal Handling 3</t>
  </si>
  <si>
    <t>Will 3 (Dedication 1B)</t>
  </si>
  <si>
    <t>Skinchanger</t>
  </si>
  <si>
    <t>Third Eye</t>
  </si>
  <si>
    <t>Third Eye Opened</t>
  </si>
  <si>
    <t>Ward</t>
  </si>
  <si>
    <t>Wealthy</t>
  </si>
  <si>
    <t>Blood of the Andals</t>
  </si>
  <si>
    <t>Blood of the First Men</t>
  </si>
  <si>
    <t>Blood of Heroes</t>
  </si>
  <si>
    <t>Blood of the Ironmen</t>
  </si>
  <si>
    <t>Blood of the Rhoyne</t>
  </si>
  <si>
    <t>Blood of Valyria</t>
  </si>
  <si>
    <t>Blood of the Wildlings</t>
  </si>
  <si>
    <t>Massive</t>
  </si>
  <si>
    <t>Accurate</t>
  </si>
  <si>
    <t>Acrobatic Defence</t>
  </si>
  <si>
    <t>Anointed</t>
  </si>
  <si>
    <t>Armour Mastery</t>
  </si>
  <si>
    <t>Axe Fighter I</t>
  </si>
  <si>
    <t>Beserker</t>
  </si>
  <si>
    <t>Bludgeon Fighter I</t>
  </si>
  <si>
    <t>Braavosi Fighter I</t>
  </si>
  <si>
    <t>Brawler I</t>
  </si>
  <si>
    <t>Danger Sense</t>
  </si>
  <si>
    <t>Deadly Shot</t>
  </si>
  <si>
    <t>Deft Hands</t>
  </si>
  <si>
    <t>Double Shot</t>
  </si>
  <si>
    <t>Fast</t>
  </si>
  <si>
    <t>Fury</t>
  </si>
  <si>
    <t>Hail of Steel</t>
  </si>
  <si>
    <t>Inspiring</t>
  </si>
  <si>
    <t>Leader of Men</t>
  </si>
  <si>
    <t>Long Blade Fighter I</t>
  </si>
  <si>
    <t>Pole-Arm Fighter I</t>
  </si>
  <si>
    <t>Shield Mastery</t>
  </si>
  <si>
    <t>Short Blade Fighter I</t>
  </si>
  <si>
    <t>Spear Fighter I</t>
  </si>
  <si>
    <t>Tough</t>
  </si>
  <si>
    <t>Tourney Knight</t>
  </si>
  <si>
    <t>Triple Shot</t>
  </si>
  <si>
    <t>Water Dancer I</t>
  </si>
  <si>
    <t>Weapon Mastery</t>
  </si>
  <si>
    <t>Weapon Savant</t>
  </si>
  <si>
    <t>Adept Negotiator</t>
  </si>
  <si>
    <t>Attractive</t>
  </si>
  <si>
    <t>Authority</t>
  </si>
  <si>
    <t>Cautious Diplomacy</t>
  </si>
  <si>
    <t>Charismatic</t>
  </si>
  <si>
    <t>Courteous</t>
  </si>
  <si>
    <t>Dutiful</t>
  </si>
  <si>
    <t>Eloquent</t>
  </si>
  <si>
    <t>Favoured of Nobles</t>
  </si>
  <si>
    <t>Favoured of Smallfolk</t>
  </si>
  <si>
    <t>Magnetic</t>
  </si>
  <si>
    <t>Respected</t>
  </si>
  <si>
    <t>Stubborn</t>
  </si>
  <si>
    <t>Treacherous</t>
  </si>
  <si>
    <t>Worldly</t>
  </si>
  <si>
    <t>Heritage</t>
  </si>
  <si>
    <t>Martial</t>
  </si>
  <si>
    <t>Social</t>
  </si>
  <si>
    <t>Will 4 (Dedication 1B), Animal Cohort, Third Eye</t>
  </si>
  <si>
    <t>Will 5 (Dedication 2B), Third Eye Opened</t>
  </si>
  <si>
    <t>Marksmanship 4</t>
  </si>
  <si>
    <t>Agility 4 (acrobatics 1B)</t>
  </si>
  <si>
    <t>Fighting 4 (Axes 2B)</t>
  </si>
  <si>
    <t>Fighting 5 (Axes 3B), Axe Fighter I</t>
  </si>
  <si>
    <t>Fighting 6 (Axes 4B), Axe Fighter II</t>
  </si>
  <si>
    <t>Axe Fighter II</t>
  </si>
  <si>
    <t>Axe Fighter III</t>
  </si>
  <si>
    <t>Bludgeon Fighter II</t>
  </si>
  <si>
    <t>Bludgeon Fighter III</t>
  </si>
  <si>
    <t>Braavosi Fighter II</t>
  </si>
  <si>
    <t>Braavosi Fighter III</t>
  </si>
  <si>
    <t>Brawler II</t>
  </si>
  <si>
    <t>Brawler III</t>
  </si>
  <si>
    <t>Long Blade Fighter II</t>
  </si>
  <si>
    <t>Long Blade Fighter III</t>
  </si>
  <si>
    <t>Pole-Arm Fighter II</t>
  </si>
  <si>
    <t>Pole-Arm Fighter III</t>
  </si>
  <si>
    <t>Short Blade Fighter II</t>
  </si>
  <si>
    <t>Short Blade Fighter III</t>
  </si>
  <si>
    <t>Spear Fighter II</t>
  </si>
  <si>
    <t>Spear Fighter III</t>
  </si>
  <si>
    <t>Water Dancer II</t>
  </si>
  <si>
    <t>Water Dancer III</t>
  </si>
  <si>
    <t>Fighting 4 (Bludgeons 2B)</t>
  </si>
  <si>
    <t>Fighting 5 (Bludgeons 3B), Bludgeon Fighter I</t>
  </si>
  <si>
    <t>Fighting 6 (Bludgeons 4B), Bludgeon Fighter II</t>
  </si>
  <si>
    <t>Fighting 4 (Fencing 1B)</t>
  </si>
  <si>
    <t>Fighting 5 (Fencing 2B), Braavosi Fighter I</t>
  </si>
  <si>
    <t>Fighting 6 (Fencing 3B), Braavosi Fighter II</t>
  </si>
  <si>
    <t>Fighting 4 (Brawling 1B)</t>
  </si>
  <si>
    <t>Fighting 5 (Brawling 3B), Brawler I</t>
  </si>
  <si>
    <t>Fighting 6 (Brawling 5B), Brawler II</t>
  </si>
  <si>
    <t>Awareness 4</t>
  </si>
  <si>
    <t>Marksmanship 5</t>
  </si>
  <si>
    <t>Agility 4</t>
  </si>
  <si>
    <t>Marksmanship 5 (Bows 3B)</t>
  </si>
  <si>
    <t>Athletics 4 (Strength 2B)</t>
  </si>
  <si>
    <t>Marksmanship 4 (Thrown 2B)</t>
  </si>
  <si>
    <t>Warfare 4</t>
  </si>
  <si>
    <t>Warfare 4 (Command 1B)</t>
  </si>
  <si>
    <t>Fighting 4 (Long blades 2B)</t>
  </si>
  <si>
    <t>Fighting 5, Long Blade Fighter I</t>
  </si>
  <si>
    <t>Fighting 6, Long Blade Fighter II</t>
  </si>
  <si>
    <t>Fighting 4 (Pole-Arms 2B)</t>
  </si>
  <si>
    <t>Fighting 5, Pole-Arm Fighter II</t>
  </si>
  <si>
    <t>Fighting 3 (Shields 1B)</t>
  </si>
  <si>
    <t>Fighting 4 (Short Blades 1B)</t>
  </si>
  <si>
    <t>Fighting 5, Short Blade Fighter I</t>
  </si>
  <si>
    <t>Fighting 6, Short Blade Fighter II</t>
  </si>
  <si>
    <t>Fighting 3 (Spears 1B)</t>
  </si>
  <si>
    <t>Athletics 5, Spear Fighter II</t>
  </si>
  <si>
    <t>Resilience 1B</t>
  </si>
  <si>
    <t>Fighting 3 (Spears 1B), Status 3 (Tournaments 1B)</t>
  </si>
  <si>
    <t>Marksmanship 7 (Bows 5B), Double Shot</t>
  </si>
  <si>
    <t>Fighting 3 (Fencing 1B)</t>
  </si>
  <si>
    <t>Agility 4, Cunning 4, Fighting 5</t>
  </si>
  <si>
    <t>Deception 3</t>
  </si>
  <si>
    <t>Awareness 4 (Empathy 2B)</t>
  </si>
  <si>
    <t>Persuasion 3</t>
  </si>
  <si>
    <t>Will 4</t>
  </si>
  <si>
    <t>Language 4, Persuasion 4</t>
  </si>
  <si>
    <t>Reputation 2B</t>
  </si>
  <si>
    <t>Exceed limit of 7 on one ability</t>
  </si>
  <si>
    <t>+1 against opponents in cover</t>
  </si>
  <si>
    <t>Lesser action to add twice Acrobatics to Combat Defence</t>
  </si>
  <si>
    <t>+1 AR, -1 Bulk</t>
  </si>
  <si>
    <t>+1 AR</t>
  </si>
  <si>
    <t>Weapon gains or increases Shattering by 1</t>
  </si>
  <si>
    <t>Increase defensive bonus by 1</t>
  </si>
  <si>
    <t>Free attack when opponent misses you</t>
  </si>
  <si>
    <t>Fists are Powerful, add Athletics rank to Fighting result</t>
  </si>
  <si>
    <t>Re-roll 1s on Initiative, cannot be surprised</t>
  </si>
  <si>
    <t>Move +1 yard, run x 5 movement</t>
  </si>
  <si>
    <t>Thrown weapons gain Fast quality</t>
  </si>
  <si>
    <t>Increase defensive bonus by 1 with shields</t>
  </si>
  <si>
    <t>Add Resilience to Health</t>
  </si>
  <si>
    <t>Increase Weapon Damage by 1</t>
  </si>
  <si>
    <t>Ignore Trained requirements and penalties with weapons</t>
  </si>
  <si>
    <t>Re-roll 1s on Persuasion tests</t>
  </si>
  <si>
    <t>Reduce disposition penalties to Persuasion by 2</t>
  </si>
  <si>
    <t>Retain bonus dice from Consider action during Intrigues</t>
  </si>
  <si>
    <t>+1B on Persuasion tests against characters with Status 4+</t>
  </si>
  <si>
    <t>+1B on Persuasion tests against characters with Status 3-</t>
  </si>
  <si>
    <t>Add Cunning rank to Deception result</t>
  </si>
  <si>
    <t>+2B on Persuasion tests against characters from lands other than Westeros</t>
  </si>
  <si>
    <t>Elective</t>
  </si>
  <si>
    <t>y</t>
  </si>
  <si>
    <t>Asshai</t>
  </si>
  <si>
    <t>Braavosi</t>
  </si>
  <si>
    <t>Dothraki</t>
  </si>
  <si>
    <t>Ghiscari</t>
  </si>
  <si>
    <t>Ibbenese</t>
  </si>
  <si>
    <t>Lysene</t>
  </si>
  <si>
    <t>Myrish</t>
  </si>
  <si>
    <t>Norvosan</t>
  </si>
  <si>
    <t>Old Tongue</t>
  </si>
  <si>
    <t>Pentoshi</t>
  </si>
  <si>
    <t>Qartheen</t>
  </si>
  <si>
    <t>Slaver Argot</t>
  </si>
  <si>
    <t>Tyroshi</t>
  </si>
  <si>
    <t>Valyrian</t>
  </si>
  <si>
    <t>Valyrian, High</t>
  </si>
  <si>
    <t>Valid?</t>
  </si>
  <si>
    <t>No penalty from Dispositions, so long as your Disposition remains unknown.</t>
  </si>
  <si>
    <t>GM</t>
  </si>
  <si>
    <t>Ryam Mudd</t>
  </si>
  <si>
    <t>N/A</t>
  </si>
  <si>
    <t>(Agil) Balance</t>
  </si>
  <si>
    <t>(Athl) Run</t>
  </si>
  <si>
    <t>(Figh) Spears</t>
  </si>
</sst>
</file>

<file path=xl/styles.xml><?xml version="1.0" encoding="utf-8"?>
<styleSheet xmlns="http://schemas.openxmlformats.org/spreadsheetml/2006/main">
  <numFmts count="6">
    <numFmt numFmtId="164" formatCode="#&quot;B&quot;"/>
    <numFmt numFmtId="165" formatCode="#&quot;D&quot;"/>
    <numFmt numFmtId="166" formatCode="\+#;\-#;&quot;&quot;"/>
    <numFmt numFmtId="167" formatCode="#;\-#;&quot;-&quot;"/>
    <numFmt numFmtId="168" formatCode="#&quot;B&quot;;&quot;&quot;;&quot;&quot;"/>
    <numFmt numFmtId="169" formatCode="General;General;&quot;-&quot;"/>
  </numFmts>
  <fonts count="56">
    <font>
      <sz val="10"/>
      <name val="Arial"/>
    </font>
    <font>
      <sz val="8"/>
      <name val="Arial"/>
    </font>
    <font>
      <b/>
      <sz val="9"/>
      <color indexed="9"/>
      <name val="Book Antiqua"/>
      <family val="1"/>
    </font>
    <font>
      <b/>
      <sz val="10"/>
      <color indexed="9"/>
      <name val="Book Antiqua"/>
      <family val="1"/>
    </font>
    <font>
      <b/>
      <sz val="13"/>
      <color indexed="9"/>
      <name val="Book Antiqua"/>
      <family val="1"/>
    </font>
    <font>
      <sz val="9"/>
      <name val="Book Antiqua"/>
      <family val="1"/>
    </font>
    <font>
      <sz val="10"/>
      <name val="Book Antiqua"/>
      <family val="1"/>
    </font>
    <font>
      <sz val="11"/>
      <name val="Book Antiqua"/>
      <family val="1"/>
    </font>
    <font>
      <sz val="16"/>
      <name val="Book Antiqua"/>
      <family val="1"/>
    </font>
    <font>
      <sz val="6"/>
      <name val="Book Antiqua"/>
      <family val="1"/>
    </font>
    <font>
      <b/>
      <sz val="8"/>
      <color indexed="9"/>
      <name val="Book Antiqua"/>
      <family val="1"/>
    </font>
    <font>
      <sz val="8"/>
      <name val="Book Antiqua"/>
      <family val="1"/>
    </font>
    <font>
      <sz val="12"/>
      <name val="Book Antiqua"/>
      <family val="1"/>
    </font>
    <font>
      <b/>
      <sz val="10"/>
      <name val="Book Antiqua"/>
      <family val="1"/>
    </font>
    <font>
      <b/>
      <sz val="12"/>
      <color indexed="9"/>
      <name val="Book Antiqua"/>
      <family val="1"/>
    </font>
    <font>
      <sz val="9"/>
      <color indexed="9"/>
      <name val="Book Antiqua"/>
      <family val="1"/>
    </font>
    <font>
      <sz val="9"/>
      <name val="Arial"/>
    </font>
    <font>
      <b/>
      <sz val="8"/>
      <name val="Book Antiqua"/>
      <family val="1"/>
    </font>
    <font>
      <b/>
      <sz val="8"/>
      <name val="Arial"/>
      <family val="2"/>
    </font>
    <font>
      <b/>
      <sz val="12"/>
      <name val="Book Antiqua"/>
      <family val="1"/>
    </font>
    <font>
      <sz val="8"/>
      <name val="Arial"/>
      <family val="2"/>
    </font>
    <font>
      <sz val="11"/>
      <name val="Wingdings 2"/>
      <family val="1"/>
      <charset val="2"/>
    </font>
    <font>
      <sz val="4"/>
      <name val="Wingdings 2"/>
      <family val="1"/>
      <charset val="2"/>
    </font>
    <font>
      <sz val="10"/>
      <name val="Arial"/>
    </font>
    <font>
      <b/>
      <sz val="13"/>
      <name val="Book Antiqua"/>
      <family val="1"/>
    </font>
    <font>
      <b/>
      <sz val="5"/>
      <name val="Wingdings 2"/>
      <family val="1"/>
      <charset val="2"/>
    </font>
    <font>
      <b/>
      <sz val="10"/>
      <name val="Arial"/>
    </font>
    <font>
      <sz val="7"/>
      <name val="Book Antiqua"/>
      <family val="1"/>
    </font>
    <font>
      <i/>
      <sz val="9"/>
      <name val="Book Antiqua"/>
      <family val="1"/>
    </font>
    <font>
      <i/>
      <sz val="10"/>
      <name val="Arial"/>
    </font>
    <font>
      <b/>
      <sz val="9"/>
      <color indexed="53"/>
      <name val="Book Antiqua"/>
      <family val="1"/>
    </font>
    <font>
      <sz val="9"/>
      <color indexed="53"/>
      <name val="Arial"/>
    </font>
    <font>
      <sz val="5"/>
      <name val="Wingdings 2"/>
      <family val="1"/>
      <charset val="2"/>
    </font>
    <font>
      <sz val="7"/>
      <name val="Arial"/>
    </font>
    <font>
      <sz val="10"/>
      <color indexed="9"/>
      <name val="Book Antiqua"/>
      <family val="1"/>
    </font>
    <font>
      <b/>
      <sz val="9"/>
      <name val="Book Antiqua"/>
      <family val="1"/>
    </font>
    <font>
      <b/>
      <sz val="11"/>
      <color indexed="9"/>
      <name val="Book Antiqua"/>
      <family val="1"/>
    </font>
    <font>
      <sz val="14"/>
      <name val="Book Antiqua"/>
      <family val="1"/>
    </font>
    <font>
      <b/>
      <sz val="11"/>
      <name val="Book Antiqua"/>
      <family val="1"/>
    </font>
    <font>
      <b/>
      <sz val="10"/>
      <name val="Arial"/>
      <family val="2"/>
    </font>
    <font>
      <sz val="8"/>
      <color indexed="9"/>
      <name val="Book Antiqua"/>
      <family val="1"/>
    </font>
    <font>
      <b/>
      <sz val="7"/>
      <name val="Book Antiqua"/>
      <family val="1"/>
    </font>
    <font>
      <sz val="8"/>
      <color indexed="81"/>
      <name val="Book Antiqua"/>
      <family val="1"/>
    </font>
    <font>
      <b/>
      <sz val="14"/>
      <color indexed="9"/>
      <name val="Book Antiqua"/>
      <family val="1"/>
    </font>
    <font>
      <sz val="22"/>
      <color indexed="9"/>
      <name val="Book Antiqua"/>
      <family val="1"/>
    </font>
    <font>
      <sz val="16"/>
      <color indexed="9"/>
      <name val="Book Antiqua"/>
      <family val="1"/>
    </font>
    <font>
      <sz val="26"/>
      <color indexed="9"/>
      <name val="Book Antiqua"/>
      <family val="1"/>
    </font>
    <font>
      <sz val="14"/>
      <color indexed="9"/>
      <name val="Book Antiqua"/>
      <family val="1"/>
    </font>
    <font>
      <sz val="10"/>
      <color indexed="9"/>
      <name val="Arial"/>
    </font>
    <font>
      <b/>
      <sz val="7"/>
      <name val="Arial"/>
    </font>
    <font>
      <b/>
      <sz val="10"/>
      <color indexed="9"/>
      <name val="Arial"/>
    </font>
    <font>
      <b/>
      <sz val="9"/>
      <color indexed="9"/>
      <name val="Arial"/>
    </font>
    <font>
      <sz val="1"/>
      <name val="Wingdings 2"/>
      <family val="1"/>
      <charset val="2"/>
    </font>
    <font>
      <sz val="12"/>
      <name val="Wingdings 2"/>
      <family val="1"/>
      <charset val="2"/>
    </font>
    <font>
      <b/>
      <sz val="9"/>
      <name val="Arial"/>
    </font>
    <font>
      <b/>
      <sz val="16"/>
      <name val="Book Antiqua"/>
      <family val="1"/>
    </font>
  </fonts>
  <fills count="12">
    <fill>
      <patternFill patternType="none"/>
    </fill>
    <fill>
      <patternFill patternType="gray125"/>
    </fill>
    <fill>
      <patternFill patternType="solid">
        <fgColor indexed="60"/>
        <bgColor indexed="64"/>
      </patternFill>
    </fill>
    <fill>
      <patternFill patternType="solid">
        <fgColor indexed="22"/>
        <bgColor indexed="64"/>
      </patternFill>
    </fill>
    <fill>
      <patternFill patternType="solid">
        <fgColor indexed="13"/>
        <bgColor indexed="64"/>
      </patternFill>
    </fill>
    <fill>
      <patternFill patternType="solid">
        <fgColor indexed="53"/>
        <bgColor indexed="64"/>
      </patternFill>
    </fill>
    <fill>
      <patternFill patternType="solid">
        <fgColor indexed="52"/>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s>
  <borders count="197">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bottom style="thick">
        <color indexed="60"/>
      </bottom>
      <diagonal/>
    </border>
    <border>
      <left style="thick">
        <color indexed="60"/>
      </left>
      <right style="thick">
        <color indexed="60"/>
      </right>
      <top style="thick">
        <color indexed="60"/>
      </top>
      <bottom style="thick">
        <color indexed="60"/>
      </bottom>
      <diagonal/>
    </border>
    <border>
      <left style="thick">
        <color indexed="60"/>
      </left>
      <right/>
      <top style="thick">
        <color indexed="60"/>
      </top>
      <bottom style="thick">
        <color indexed="60"/>
      </bottom>
      <diagonal/>
    </border>
    <border>
      <left/>
      <right/>
      <top style="thick">
        <color indexed="60"/>
      </top>
      <bottom style="thick">
        <color indexed="60"/>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0"/>
      </left>
      <right style="medium">
        <color indexed="60"/>
      </right>
      <top style="medium">
        <color indexed="60"/>
      </top>
      <bottom style="medium">
        <color indexed="60"/>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53"/>
      </left>
      <right/>
      <top style="medium">
        <color indexed="53"/>
      </top>
      <bottom style="medium">
        <color indexed="53"/>
      </bottom>
      <diagonal/>
    </border>
    <border>
      <left style="medium">
        <color indexed="60"/>
      </left>
      <right style="medium">
        <color indexed="53"/>
      </right>
      <top style="medium">
        <color indexed="53"/>
      </top>
      <bottom style="medium">
        <color indexed="53"/>
      </bottom>
      <diagonal/>
    </border>
    <border>
      <left/>
      <right/>
      <top style="thick">
        <color indexed="60"/>
      </top>
      <bottom/>
      <diagonal/>
    </border>
    <border>
      <left style="medium">
        <color indexed="53"/>
      </left>
      <right style="medium">
        <color indexed="53"/>
      </right>
      <top/>
      <bottom/>
      <diagonal/>
    </border>
    <border>
      <left style="medium">
        <color indexed="53"/>
      </left>
      <right style="medium">
        <color indexed="60"/>
      </right>
      <top style="medium">
        <color indexed="53"/>
      </top>
      <bottom style="medium">
        <color indexed="60"/>
      </bottom>
      <diagonal/>
    </border>
    <border>
      <left style="medium">
        <color indexed="53"/>
      </left>
      <right style="medium">
        <color indexed="60"/>
      </right>
      <top style="medium">
        <color indexed="60"/>
      </top>
      <bottom style="medium">
        <color indexed="60"/>
      </bottom>
      <diagonal/>
    </border>
    <border>
      <left style="medium">
        <color indexed="60"/>
      </left>
      <right style="medium">
        <color indexed="53"/>
      </right>
      <top style="medium">
        <color indexed="53"/>
      </top>
      <bottom style="medium">
        <color indexed="60"/>
      </bottom>
      <diagonal/>
    </border>
    <border>
      <left style="medium">
        <color indexed="53"/>
      </left>
      <right/>
      <top style="medium">
        <color indexed="53"/>
      </top>
      <bottom/>
      <diagonal/>
    </border>
    <border>
      <left/>
      <right style="thin">
        <color indexed="60"/>
      </right>
      <top style="thick">
        <color indexed="60"/>
      </top>
      <bottom style="thin">
        <color indexed="60"/>
      </bottom>
      <diagonal/>
    </border>
    <border>
      <left/>
      <right style="thin">
        <color indexed="60"/>
      </right>
      <top style="thin">
        <color indexed="60"/>
      </top>
      <bottom style="thin">
        <color indexed="60"/>
      </bottom>
      <diagonal/>
    </border>
    <border>
      <left/>
      <right style="thin">
        <color indexed="60"/>
      </right>
      <top style="thin">
        <color indexed="60"/>
      </top>
      <bottom/>
      <diagonal/>
    </border>
    <border>
      <left/>
      <right/>
      <top/>
      <bottom style="thin">
        <color indexed="60"/>
      </bottom>
      <diagonal/>
    </border>
    <border>
      <left/>
      <right/>
      <top style="thin">
        <color indexed="60"/>
      </top>
      <bottom style="thin">
        <color indexed="60"/>
      </bottom>
      <diagonal/>
    </border>
    <border>
      <left/>
      <right/>
      <top style="thin">
        <color indexed="60"/>
      </top>
      <bottom style="thick">
        <color indexed="60"/>
      </bottom>
      <diagonal/>
    </border>
    <border>
      <left/>
      <right/>
      <top style="thick">
        <color indexed="60"/>
      </top>
      <bottom style="thin">
        <color indexed="60"/>
      </bottom>
      <diagonal/>
    </border>
    <border>
      <left/>
      <right/>
      <top style="thin">
        <color indexed="60"/>
      </top>
      <bottom/>
      <diagonal/>
    </border>
    <border>
      <left style="medium">
        <color indexed="53"/>
      </left>
      <right style="medium">
        <color indexed="53"/>
      </right>
      <top style="medium">
        <color indexed="53"/>
      </top>
      <bottom style="medium">
        <color indexed="53"/>
      </bottom>
      <diagonal/>
    </border>
    <border>
      <left/>
      <right style="medium">
        <color indexed="53"/>
      </right>
      <top style="medium">
        <color indexed="53"/>
      </top>
      <bottom/>
      <diagonal/>
    </border>
    <border>
      <left style="medium">
        <color indexed="53"/>
      </left>
      <right style="medium">
        <color indexed="53"/>
      </right>
      <top style="medium">
        <color indexed="53"/>
      </top>
      <bottom/>
      <diagonal/>
    </border>
    <border>
      <left style="medium">
        <color indexed="60"/>
      </left>
      <right style="medium">
        <color indexed="53"/>
      </right>
      <top style="medium">
        <color indexed="53"/>
      </top>
      <bottom/>
      <diagonal/>
    </border>
    <border>
      <left/>
      <right/>
      <top style="medium">
        <color indexed="60"/>
      </top>
      <bottom/>
      <diagonal/>
    </border>
    <border>
      <left/>
      <right style="thin">
        <color indexed="60"/>
      </right>
      <top/>
      <bottom style="thin">
        <color indexed="60"/>
      </bottom>
      <diagonal/>
    </border>
    <border>
      <left/>
      <right style="thin">
        <color indexed="60"/>
      </right>
      <top style="medium">
        <color indexed="60"/>
      </top>
      <bottom style="thin">
        <color indexed="60"/>
      </bottom>
      <diagonal/>
    </border>
    <border>
      <left/>
      <right style="thin">
        <color indexed="60"/>
      </right>
      <top style="thin">
        <color indexed="60"/>
      </top>
      <bottom style="medium">
        <color indexed="60"/>
      </bottom>
      <diagonal/>
    </border>
    <border>
      <left/>
      <right/>
      <top/>
      <bottom style="medium">
        <color indexed="60"/>
      </bottom>
      <diagonal/>
    </border>
    <border>
      <left style="medium">
        <color indexed="60"/>
      </left>
      <right style="medium">
        <color indexed="53"/>
      </right>
      <top style="medium">
        <color indexed="60"/>
      </top>
      <bottom style="medium">
        <color indexed="60"/>
      </bottom>
      <diagonal/>
    </border>
    <border>
      <left style="medium">
        <color indexed="53"/>
      </left>
      <right style="medium">
        <color indexed="60"/>
      </right>
      <top style="medium">
        <color indexed="60"/>
      </top>
      <bottom style="medium">
        <color indexed="53"/>
      </bottom>
      <diagonal/>
    </border>
    <border>
      <left style="medium">
        <color indexed="60"/>
      </left>
      <right style="medium">
        <color indexed="53"/>
      </right>
      <top style="medium">
        <color indexed="60"/>
      </top>
      <bottom style="medium">
        <color indexed="53"/>
      </bottom>
      <diagonal/>
    </border>
    <border>
      <left style="medium">
        <color indexed="53"/>
      </left>
      <right style="medium">
        <color indexed="60"/>
      </right>
      <top style="medium">
        <color indexed="60"/>
      </top>
      <bottom/>
      <diagonal/>
    </border>
    <border>
      <left style="medium">
        <color indexed="53"/>
      </left>
      <right/>
      <top/>
      <bottom style="medium">
        <color indexed="53"/>
      </bottom>
      <diagonal/>
    </border>
    <border>
      <left/>
      <right style="medium">
        <color indexed="53"/>
      </right>
      <top/>
      <bottom style="medium">
        <color indexed="53"/>
      </bottom>
      <diagonal/>
    </border>
    <border>
      <left/>
      <right/>
      <top/>
      <bottom style="medium">
        <color indexed="53"/>
      </bottom>
      <diagonal/>
    </border>
    <border>
      <left style="thin">
        <color indexed="64"/>
      </left>
      <right/>
      <top/>
      <bottom style="hair">
        <color indexed="64"/>
      </bottom>
      <diagonal/>
    </border>
    <border>
      <left/>
      <right style="medium">
        <color indexed="53"/>
      </right>
      <top style="medium">
        <color indexed="53"/>
      </top>
      <bottom style="medium">
        <color indexed="60"/>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ck">
        <color indexed="60"/>
      </left>
      <right/>
      <top style="thick">
        <color indexed="60"/>
      </top>
      <bottom/>
      <diagonal/>
    </border>
    <border>
      <left/>
      <right/>
      <top style="thick">
        <color indexed="60"/>
      </top>
      <bottom style="medium">
        <color indexed="60"/>
      </bottom>
      <diagonal/>
    </border>
    <border>
      <left/>
      <right/>
      <top style="medium">
        <color indexed="60"/>
      </top>
      <bottom style="thick">
        <color indexed="60"/>
      </bottom>
      <diagonal/>
    </border>
    <border>
      <left style="thick">
        <color indexed="60"/>
      </left>
      <right style="medium">
        <color indexed="60"/>
      </right>
      <top style="thick">
        <color indexed="60"/>
      </top>
      <bottom style="medium">
        <color indexed="60"/>
      </bottom>
      <diagonal/>
    </border>
    <border>
      <left style="thick">
        <color indexed="60"/>
      </left>
      <right style="medium">
        <color indexed="60"/>
      </right>
      <top style="medium">
        <color indexed="60"/>
      </top>
      <bottom style="thick">
        <color indexed="60"/>
      </bottom>
      <diagonal/>
    </border>
    <border>
      <left/>
      <right style="thick">
        <color indexed="60"/>
      </right>
      <top style="thick">
        <color indexed="60"/>
      </top>
      <bottom style="thick">
        <color indexed="60"/>
      </bottom>
      <diagonal/>
    </border>
    <border>
      <left/>
      <right style="medium">
        <color indexed="60"/>
      </right>
      <top style="thick">
        <color indexed="60"/>
      </top>
      <bottom style="medium">
        <color indexed="60"/>
      </bottom>
      <diagonal/>
    </border>
    <border>
      <left/>
      <right style="medium">
        <color indexed="60"/>
      </right>
      <top style="medium">
        <color indexed="60"/>
      </top>
      <bottom style="thick">
        <color indexed="60"/>
      </bottom>
      <diagonal/>
    </border>
    <border>
      <left style="medium">
        <color indexed="53"/>
      </left>
      <right style="medium">
        <color indexed="53"/>
      </right>
      <top/>
      <bottom style="medium">
        <color indexed="53"/>
      </bottom>
      <diagonal/>
    </border>
    <border>
      <left style="medium">
        <color indexed="60"/>
      </left>
      <right style="medium">
        <color indexed="53"/>
      </right>
      <top style="medium">
        <color indexed="60"/>
      </top>
      <bottom/>
      <diagonal/>
    </border>
    <border>
      <left style="medium">
        <color indexed="53"/>
      </left>
      <right style="medium">
        <color indexed="60"/>
      </right>
      <top/>
      <bottom style="medium">
        <color indexed="53"/>
      </bottom>
      <diagonal/>
    </border>
    <border>
      <left style="medium">
        <color indexed="53"/>
      </left>
      <right style="medium">
        <color indexed="60"/>
      </right>
      <top style="medium">
        <color indexed="53"/>
      </top>
      <bottom/>
      <diagonal/>
    </border>
    <border>
      <left/>
      <right/>
      <top style="medium">
        <color indexed="53"/>
      </top>
      <bottom/>
      <diagonal/>
    </border>
    <border>
      <left style="medium">
        <color indexed="53"/>
      </left>
      <right/>
      <top/>
      <bottom/>
      <diagonal/>
    </border>
    <border>
      <left/>
      <right style="medium">
        <color indexed="53"/>
      </right>
      <top/>
      <bottom/>
      <diagonal/>
    </border>
    <border>
      <left style="thin">
        <color indexed="60"/>
      </left>
      <right style="thin">
        <color indexed="60"/>
      </right>
      <top style="medium">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top style="medium">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indexed="60"/>
      </top>
      <bottom style="thin">
        <color indexed="60"/>
      </bottom>
      <diagonal/>
    </border>
    <border>
      <left style="medium">
        <color indexed="60"/>
      </left>
      <right style="medium">
        <color indexed="60"/>
      </right>
      <top style="thin">
        <color indexed="60"/>
      </top>
      <bottom style="medium">
        <color indexed="60"/>
      </bottom>
      <diagonal/>
    </border>
    <border>
      <left style="medium">
        <color indexed="60"/>
      </left>
      <right/>
      <top style="thin">
        <color indexed="60"/>
      </top>
      <bottom style="thin">
        <color indexed="60"/>
      </bottom>
      <diagonal/>
    </border>
    <border>
      <left/>
      <right style="medium">
        <color indexed="60"/>
      </right>
      <top style="medium">
        <color indexed="60"/>
      </top>
      <bottom style="medium">
        <color indexed="60"/>
      </bottom>
      <diagonal/>
    </border>
    <border>
      <left style="thin">
        <color indexed="60"/>
      </left>
      <right/>
      <top/>
      <bottom style="medium">
        <color indexed="60"/>
      </bottom>
      <diagonal/>
    </border>
    <border>
      <left style="thin">
        <color indexed="60"/>
      </left>
      <right/>
      <top style="thin">
        <color indexed="60"/>
      </top>
      <bottom style="thin">
        <color indexed="60"/>
      </bottom>
      <diagonal/>
    </border>
    <border>
      <left style="thin">
        <color indexed="60"/>
      </left>
      <right style="thin">
        <color indexed="60"/>
      </right>
      <top style="thick">
        <color indexed="60"/>
      </top>
      <bottom style="thin">
        <color indexed="60"/>
      </bottom>
      <diagonal/>
    </border>
    <border>
      <left style="thin">
        <color indexed="60"/>
      </left>
      <right style="thin">
        <color indexed="60"/>
      </right>
      <top style="thin">
        <color indexed="60"/>
      </top>
      <bottom/>
      <diagonal/>
    </border>
    <border>
      <left style="thin">
        <color indexed="60"/>
      </left>
      <right/>
      <top style="thin">
        <color indexed="60"/>
      </top>
      <bottom/>
      <diagonal/>
    </border>
    <border>
      <left style="thin">
        <color indexed="60"/>
      </left>
      <right/>
      <top style="thick">
        <color indexed="60"/>
      </top>
      <bottom style="thin">
        <color indexed="60"/>
      </bottom>
      <diagonal/>
    </border>
    <border>
      <left style="thick">
        <color indexed="53"/>
      </left>
      <right/>
      <top style="thick">
        <color indexed="53"/>
      </top>
      <bottom/>
      <diagonal/>
    </border>
    <border>
      <left/>
      <right/>
      <top style="thick">
        <color indexed="53"/>
      </top>
      <bottom/>
      <diagonal/>
    </border>
    <border>
      <left/>
      <right style="thick">
        <color indexed="53"/>
      </right>
      <top style="thick">
        <color indexed="53"/>
      </top>
      <bottom/>
      <diagonal/>
    </border>
    <border>
      <left style="thick">
        <color indexed="53"/>
      </left>
      <right/>
      <top/>
      <bottom style="thick">
        <color indexed="53"/>
      </bottom>
      <diagonal/>
    </border>
    <border>
      <left/>
      <right/>
      <top/>
      <bottom style="thick">
        <color indexed="53"/>
      </bottom>
      <diagonal/>
    </border>
    <border>
      <left/>
      <right style="thick">
        <color indexed="53"/>
      </right>
      <top/>
      <bottom style="thick">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thin">
        <color indexed="53"/>
      </left>
      <right/>
      <top style="thin">
        <color indexed="53"/>
      </top>
      <bottom style="thin">
        <color indexed="53"/>
      </bottom>
      <diagonal/>
    </border>
    <border>
      <left/>
      <right/>
      <top style="thin">
        <color indexed="53"/>
      </top>
      <bottom style="thin">
        <color indexed="53"/>
      </bottom>
      <diagonal/>
    </border>
    <border>
      <left/>
      <right style="thin">
        <color indexed="53"/>
      </right>
      <top style="thin">
        <color indexed="53"/>
      </top>
      <bottom style="thin">
        <color indexed="53"/>
      </bottom>
      <diagonal/>
    </border>
    <border>
      <left style="thin">
        <color indexed="53"/>
      </left>
      <right/>
      <top style="thin">
        <color indexed="60"/>
      </top>
      <bottom style="thin">
        <color indexed="60"/>
      </bottom>
      <diagonal/>
    </border>
    <border>
      <left/>
      <right style="thin">
        <color indexed="53"/>
      </right>
      <top style="thin">
        <color indexed="60"/>
      </top>
      <bottom style="thin">
        <color indexed="60"/>
      </bottom>
      <diagonal/>
    </border>
    <border>
      <left style="thin">
        <color indexed="53"/>
      </left>
      <right/>
      <top style="thin">
        <color indexed="60"/>
      </top>
      <bottom style="thin">
        <color indexed="53"/>
      </bottom>
      <diagonal/>
    </border>
    <border>
      <left/>
      <right/>
      <top style="thin">
        <color indexed="60"/>
      </top>
      <bottom style="thin">
        <color indexed="53"/>
      </bottom>
      <diagonal/>
    </border>
    <border>
      <left/>
      <right style="thin">
        <color indexed="53"/>
      </right>
      <top style="thin">
        <color indexed="60"/>
      </top>
      <bottom style="thin">
        <color indexed="53"/>
      </bottom>
      <diagonal/>
    </border>
    <border>
      <left/>
      <right/>
      <top/>
      <bottom style="thin">
        <color indexed="53"/>
      </bottom>
      <diagonal/>
    </border>
    <border>
      <left style="thin">
        <color indexed="53"/>
      </left>
      <right/>
      <top style="thin">
        <color indexed="53"/>
      </top>
      <bottom style="thin">
        <color indexed="60"/>
      </bottom>
      <diagonal/>
    </border>
    <border>
      <left/>
      <right/>
      <top style="thin">
        <color indexed="53"/>
      </top>
      <bottom style="thin">
        <color indexed="60"/>
      </bottom>
      <diagonal/>
    </border>
    <border>
      <left/>
      <right style="thin">
        <color indexed="53"/>
      </right>
      <top style="thin">
        <color indexed="53"/>
      </top>
      <bottom style="thin">
        <color indexed="60"/>
      </bottom>
      <diagonal/>
    </border>
    <border>
      <left style="medium">
        <color indexed="53"/>
      </left>
      <right/>
      <top style="medium">
        <color indexed="60"/>
      </top>
      <bottom style="medium">
        <color indexed="60"/>
      </bottom>
      <diagonal/>
    </border>
    <border>
      <left/>
      <right/>
      <top style="medium">
        <color indexed="60"/>
      </top>
      <bottom style="medium">
        <color indexed="60"/>
      </bottom>
      <diagonal/>
    </border>
    <border>
      <left style="medium">
        <color indexed="60"/>
      </left>
      <right/>
      <top style="medium">
        <color indexed="60"/>
      </top>
      <bottom style="medium">
        <color indexed="60"/>
      </bottom>
      <diagonal/>
    </border>
    <border>
      <left/>
      <right style="medium">
        <color indexed="53"/>
      </right>
      <top style="medium">
        <color indexed="60"/>
      </top>
      <bottom style="medium">
        <color indexed="60"/>
      </bottom>
      <diagonal/>
    </border>
    <border>
      <left style="medium">
        <color indexed="53"/>
      </left>
      <right/>
      <top style="medium">
        <color indexed="60"/>
      </top>
      <bottom style="medium">
        <color indexed="53"/>
      </bottom>
      <diagonal/>
    </border>
    <border>
      <left/>
      <right/>
      <top style="medium">
        <color indexed="60"/>
      </top>
      <bottom style="medium">
        <color indexed="53"/>
      </bottom>
      <diagonal/>
    </border>
    <border>
      <left style="medium">
        <color indexed="60"/>
      </left>
      <right style="medium">
        <color indexed="53"/>
      </right>
      <top/>
      <bottom style="medium">
        <color indexed="60"/>
      </bottom>
      <diagonal/>
    </border>
    <border>
      <left style="medium">
        <color indexed="53"/>
      </left>
      <right/>
      <top style="medium">
        <color indexed="53"/>
      </top>
      <bottom style="medium">
        <color indexed="60"/>
      </bottom>
      <diagonal/>
    </border>
    <border>
      <left/>
      <right/>
      <top style="medium">
        <color indexed="53"/>
      </top>
      <bottom style="medium">
        <color indexed="60"/>
      </bottom>
      <diagonal/>
    </border>
    <border>
      <left style="medium">
        <color indexed="60"/>
      </left>
      <right/>
      <top style="medium">
        <color indexed="60"/>
      </top>
      <bottom style="medium">
        <color indexed="53"/>
      </bottom>
      <diagonal/>
    </border>
    <border>
      <left/>
      <right style="medium">
        <color indexed="53"/>
      </right>
      <top style="medium">
        <color indexed="60"/>
      </top>
      <bottom style="medium">
        <color indexed="53"/>
      </bottom>
      <diagonal/>
    </border>
    <border>
      <left style="medium">
        <color indexed="53"/>
      </left>
      <right/>
      <top style="medium">
        <color indexed="60"/>
      </top>
      <bottom/>
      <diagonal/>
    </border>
    <border>
      <left style="medium">
        <color indexed="53"/>
      </left>
      <right/>
      <top/>
      <bottom style="medium">
        <color indexed="60"/>
      </bottom>
      <diagonal/>
    </border>
    <border>
      <left style="medium">
        <color indexed="60"/>
      </left>
      <right/>
      <top style="medium">
        <color indexed="53"/>
      </top>
      <bottom style="medium">
        <color indexed="60"/>
      </bottom>
      <diagonal/>
    </border>
    <border>
      <left/>
      <right style="thin">
        <color indexed="60"/>
      </right>
      <top style="thin">
        <color indexed="60"/>
      </top>
      <bottom style="thick">
        <color indexed="60"/>
      </bottom>
      <diagonal/>
    </border>
    <border>
      <left style="thin">
        <color indexed="60"/>
      </left>
      <right style="thin">
        <color indexed="60"/>
      </right>
      <top style="thin">
        <color indexed="60"/>
      </top>
      <bottom style="thick">
        <color indexed="60"/>
      </bottom>
      <diagonal/>
    </border>
    <border>
      <left style="thin">
        <color indexed="60"/>
      </left>
      <right/>
      <top style="thin">
        <color indexed="60"/>
      </top>
      <bottom style="thick">
        <color indexed="60"/>
      </bottom>
      <diagonal/>
    </border>
    <border>
      <left style="thin">
        <color indexed="60"/>
      </left>
      <right/>
      <top style="thin">
        <color indexed="60"/>
      </top>
      <bottom style="medium">
        <color indexed="60"/>
      </bottom>
      <diagonal/>
    </border>
    <border>
      <left style="thin">
        <color indexed="60"/>
      </left>
      <right style="thin">
        <color indexed="60"/>
      </right>
      <top/>
      <bottom style="thin">
        <color indexed="60"/>
      </bottom>
      <diagonal/>
    </border>
    <border>
      <left style="thin">
        <color indexed="60"/>
      </left>
      <right/>
      <top/>
      <bottom style="thin">
        <color indexed="60"/>
      </bottom>
      <diagonal/>
    </border>
    <border>
      <left style="medium">
        <color indexed="60"/>
      </left>
      <right/>
      <top/>
      <bottom style="thin">
        <color indexed="60"/>
      </bottom>
      <diagonal/>
    </border>
    <border>
      <left/>
      <right style="thick">
        <color indexed="60"/>
      </right>
      <top style="thick">
        <color indexed="60"/>
      </top>
      <bottom/>
      <diagonal/>
    </border>
    <border>
      <left style="medium">
        <color indexed="60"/>
      </left>
      <right/>
      <top style="medium">
        <color indexed="60"/>
      </top>
      <bottom/>
      <diagonal/>
    </border>
    <border>
      <left/>
      <right style="medium">
        <color indexed="60"/>
      </right>
      <top style="medium">
        <color indexed="60"/>
      </top>
      <bottom/>
      <diagonal/>
    </border>
    <border>
      <left style="medium">
        <color indexed="60"/>
      </left>
      <right/>
      <top style="thick">
        <color indexed="60"/>
      </top>
      <bottom style="medium">
        <color indexed="60"/>
      </bottom>
      <diagonal/>
    </border>
    <border>
      <left style="medium">
        <color indexed="60"/>
      </left>
      <right/>
      <top style="thin">
        <color indexed="60"/>
      </top>
      <bottom/>
      <diagonal/>
    </border>
    <border>
      <left style="medium">
        <color indexed="60"/>
      </left>
      <right/>
      <top/>
      <bottom/>
      <diagonal/>
    </border>
    <border>
      <left/>
      <right style="medium">
        <color indexed="60"/>
      </right>
      <top/>
      <bottom/>
      <diagonal/>
    </border>
    <border>
      <left style="medium">
        <color indexed="60"/>
      </left>
      <right/>
      <top style="thin">
        <color indexed="60"/>
      </top>
      <bottom style="thick">
        <color indexed="60"/>
      </bottom>
      <diagonal/>
    </border>
    <border>
      <left style="thin">
        <color indexed="9"/>
      </left>
      <right/>
      <top style="medium">
        <color indexed="53"/>
      </top>
      <bottom style="thick">
        <color indexed="60"/>
      </bottom>
      <diagonal/>
    </border>
    <border>
      <left/>
      <right/>
      <top style="medium">
        <color indexed="53"/>
      </top>
      <bottom style="thick">
        <color indexed="60"/>
      </bottom>
      <diagonal/>
    </border>
    <border>
      <left/>
      <right style="medium">
        <color indexed="60"/>
      </right>
      <top/>
      <bottom style="thick">
        <color indexed="60"/>
      </bottom>
      <diagonal/>
    </border>
    <border>
      <left style="thin">
        <color indexed="64"/>
      </left>
      <right style="thin">
        <color indexed="64"/>
      </right>
      <top style="thin">
        <color indexed="64"/>
      </top>
      <bottom/>
      <diagonal/>
    </border>
    <border>
      <left style="medium">
        <color indexed="60"/>
      </left>
      <right style="thick">
        <color indexed="60"/>
      </right>
      <top style="medium">
        <color indexed="60"/>
      </top>
      <bottom style="medium">
        <color indexed="60"/>
      </bottom>
      <diagonal/>
    </border>
    <border>
      <left/>
      <right/>
      <top style="thin">
        <color indexed="60"/>
      </top>
      <bottom style="medium">
        <color indexed="60"/>
      </bottom>
      <diagonal/>
    </border>
    <border>
      <left style="medium">
        <color indexed="60"/>
      </left>
      <right style="medium">
        <color indexed="60"/>
      </right>
      <top style="thin">
        <color indexed="60"/>
      </top>
      <bottom style="thin">
        <color indexed="60"/>
      </bottom>
      <diagonal/>
    </border>
    <border>
      <left style="medium">
        <color indexed="53"/>
      </left>
      <right style="thin">
        <color indexed="64"/>
      </right>
      <top style="medium">
        <color indexed="60"/>
      </top>
      <bottom style="medium">
        <color indexed="60"/>
      </bottom>
      <diagonal/>
    </border>
    <border>
      <left style="thin">
        <color indexed="64"/>
      </left>
      <right style="medium">
        <color indexed="53"/>
      </right>
      <top style="medium">
        <color indexed="60"/>
      </top>
      <bottom style="medium">
        <color indexed="60"/>
      </bottom>
      <diagonal/>
    </border>
    <border>
      <left style="medium">
        <color indexed="60"/>
      </left>
      <right style="medium">
        <color indexed="60"/>
      </right>
      <top style="medium">
        <color indexed="60"/>
      </top>
      <bottom style="thin">
        <color indexed="60"/>
      </bottom>
      <diagonal/>
    </border>
    <border>
      <left/>
      <right style="medium">
        <color indexed="60"/>
      </right>
      <top style="thin">
        <color indexed="60"/>
      </top>
      <bottom style="thick">
        <color indexed="60"/>
      </bottom>
      <diagonal/>
    </border>
    <border>
      <left/>
      <right style="thin">
        <color indexed="64"/>
      </right>
      <top/>
      <bottom/>
      <diagonal/>
    </border>
    <border>
      <left style="thin">
        <color indexed="64"/>
      </left>
      <right/>
      <top style="hair">
        <color indexed="64"/>
      </top>
      <bottom/>
      <diagonal/>
    </border>
    <border>
      <left/>
      <right style="medium">
        <color indexed="60"/>
      </right>
      <top style="thin">
        <color indexed="60"/>
      </top>
      <bottom style="thin">
        <color indexed="60"/>
      </bottom>
      <diagonal/>
    </border>
    <border>
      <left style="medium">
        <color indexed="53"/>
      </left>
      <right style="thin">
        <color indexed="64"/>
      </right>
      <top style="medium">
        <color indexed="60"/>
      </top>
      <bottom style="medium">
        <color indexed="53"/>
      </bottom>
      <diagonal/>
    </border>
    <border>
      <left style="thin">
        <color indexed="64"/>
      </left>
      <right style="medium">
        <color indexed="53"/>
      </right>
      <top style="medium">
        <color indexed="60"/>
      </top>
      <bottom style="medium">
        <color indexed="53"/>
      </bottom>
      <diagonal/>
    </border>
    <border>
      <left/>
      <right style="medium">
        <color indexed="60"/>
      </right>
      <top/>
      <bottom style="thin">
        <color indexed="60"/>
      </bottom>
      <diagonal/>
    </border>
    <border>
      <left style="medium">
        <color indexed="60"/>
      </left>
      <right style="medium">
        <color indexed="60"/>
      </right>
      <top style="thick">
        <color indexed="60"/>
      </top>
      <bottom/>
      <diagonal/>
    </border>
    <border>
      <left style="medium">
        <color indexed="60"/>
      </left>
      <right/>
      <top style="thick">
        <color indexed="60"/>
      </top>
      <bottom/>
      <diagonal/>
    </border>
    <border>
      <left style="medium">
        <color indexed="60"/>
      </left>
      <right style="medium">
        <color indexed="60"/>
      </right>
      <top/>
      <bottom/>
      <diagonal/>
    </border>
    <border>
      <left style="medium">
        <color indexed="60"/>
      </left>
      <right style="medium">
        <color indexed="60"/>
      </right>
      <top/>
      <bottom style="thick">
        <color indexed="60"/>
      </bottom>
      <diagonal/>
    </border>
    <border>
      <left style="medium">
        <color indexed="60"/>
      </left>
      <right/>
      <top/>
      <bottom style="thick">
        <color indexed="60"/>
      </bottom>
      <diagonal/>
    </border>
    <border>
      <left/>
      <right style="medium">
        <color indexed="60"/>
      </right>
      <top style="thick">
        <color indexed="60"/>
      </top>
      <bottom/>
      <diagonal/>
    </border>
    <border>
      <left style="medium">
        <color indexed="60"/>
      </left>
      <right/>
      <top style="medium">
        <color indexed="60"/>
      </top>
      <bottom style="thick">
        <color indexed="60"/>
      </bottom>
      <diagonal/>
    </border>
  </borders>
  <cellStyleXfs count="1">
    <xf numFmtId="0" fontId="0" fillId="0" borderId="0"/>
  </cellStyleXfs>
  <cellXfs count="936">
    <xf numFmtId="0" fontId="0" fillId="0" borderId="0" xfId="0"/>
    <xf numFmtId="0" fontId="6" fillId="2" borderId="0" xfId="0" applyFont="1" applyFill="1"/>
    <xf numFmtId="0" fontId="6" fillId="2" borderId="0" xfId="0" applyFont="1" applyFill="1" applyAlignment="1"/>
    <xf numFmtId="0" fontId="6" fillId="0" borderId="0" xfId="0" applyFont="1"/>
    <xf numFmtId="0" fontId="6" fillId="0" borderId="0" xfId="0" applyFont="1" applyAlignment="1">
      <alignment horizontal="center"/>
    </xf>
    <xf numFmtId="0" fontId="1" fillId="0" borderId="0" xfId="0" applyFont="1"/>
    <xf numFmtId="0" fontId="6" fillId="2" borderId="0" xfId="0" applyFont="1" applyFill="1" applyBorder="1" applyAlignment="1"/>
    <xf numFmtId="0" fontId="0" fillId="0" borderId="0" xfId="0" applyAlignment="1">
      <alignment horizontal="left" vertical="center"/>
    </xf>
    <xf numFmtId="0" fontId="6" fillId="0" borderId="0" xfId="0" applyFont="1" applyAlignment="1"/>
    <xf numFmtId="0" fontId="18" fillId="0" borderId="1" xfId="0" applyFont="1" applyBorder="1" applyAlignment="1">
      <alignment horizontal="center"/>
    </xf>
    <xf numFmtId="0" fontId="18" fillId="0" borderId="2" xfId="0" applyFont="1" applyBorder="1" applyAlignment="1">
      <alignment horizontal="center"/>
    </xf>
    <xf numFmtId="0" fontId="18" fillId="3" borderId="1" xfId="0" applyFont="1" applyFill="1" applyBorder="1" applyAlignment="1">
      <alignment horizontal="center"/>
    </xf>
    <xf numFmtId="0" fontId="18" fillId="3" borderId="2" xfId="0" applyFont="1" applyFill="1" applyBorder="1" applyAlignment="1">
      <alignment horizontal="center"/>
    </xf>
    <xf numFmtId="0" fontId="6" fillId="2" borderId="0" xfId="0" applyFont="1" applyFill="1" applyBorder="1" applyAlignment="1">
      <alignment vertical="center"/>
    </xf>
    <xf numFmtId="0" fontId="6" fillId="0" borderId="0" xfId="0" applyFont="1" applyBorder="1"/>
    <xf numFmtId="0" fontId="20" fillId="3" borderId="3" xfId="0" applyFont="1" applyFill="1" applyBorder="1"/>
    <xf numFmtId="0" fontId="20" fillId="0" borderId="0" xfId="0" applyFont="1"/>
    <xf numFmtId="0" fontId="18" fillId="3" borderId="3" xfId="0" applyFont="1" applyFill="1" applyBorder="1"/>
    <xf numFmtId="0" fontId="18" fillId="3" borderId="1" xfId="0" applyFont="1" applyFill="1" applyBorder="1"/>
    <xf numFmtId="0" fontId="20" fillId="4" borderId="4" xfId="0" applyFont="1" applyFill="1" applyBorder="1" applyAlignment="1">
      <alignment horizontal="center"/>
    </xf>
    <xf numFmtId="0" fontId="18" fillId="3" borderId="2" xfId="0" applyFont="1" applyFill="1" applyBorder="1"/>
    <xf numFmtId="0" fontId="18" fillId="3" borderId="4" xfId="0" applyFont="1" applyFill="1" applyBorder="1" applyAlignment="1">
      <alignment horizontal="center"/>
    </xf>
    <xf numFmtId="0" fontId="20" fillId="0" borderId="5" xfId="0" applyFont="1" applyBorder="1" applyAlignment="1">
      <alignment horizontal="center"/>
    </xf>
    <xf numFmtId="0" fontId="20" fillId="0" borderId="6" xfId="0" applyFont="1" applyBorder="1"/>
    <xf numFmtId="0" fontId="20" fillId="0" borderId="7" xfId="0" applyFont="1" applyBorder="1"/>
    <xf numFmtId="0" fontId="20" fillId="0" borderId="0" xfId="0" applyFont="1" applyBorder="1"/>
    <xf numFmtId="0" fontId="20" fillId="0" borderId="5" xfId="0" applyFont="1" applyBorder="1"/>
    <xf numFmtId="49" fontId="20" fillId="0" borderId="7" xfId="0" applyNumberFormat="1" applyFont="1" applyBorder="1"/>
    <xf numFmtId="0" fontId="20" fillId="0" borderId="8" xfId="0" applyFont="1" applyBorder="1" applyAlignment="1">
      <alignment horizontal="center"/>
    </xf>
    <xf numFmtId="0" fontId="20" fillId="0" borderId="8" xfId="0" applyFont="1" applyBorder="1"/>
    <xf numFmtId="0" fontId="20" fillId="0" borderId="9" xfId="0" applyFont="1" applyBorder="1" applyAlignment="1">
      <alignment horizontal="center"/>
    </xf>
    <xf numFmtId="0" fontId="20" fillId="0" borderId="10" xfId="0" applyFont="1" applyBorder="1" applyAlignment="1">
      <alignment horizontal="center"/>
    </xf>
    <xf numFmtId="0" fontId="20" fillId="0" borderId="11" xfId="0" applyFont="1" applyBorder="1"/>
    <xf numFmtId="0" fontId="20" fillId="0" borderId="12" xfId="0" applyFont="1" applyBorder="1"/>
    <xf numFmtId="0" fontId="20" fillId="0" borderId="10" xfId="0" applyFont="1" applyBorder="1"/>
    <xf numFmtId="49" fontId="20" fillId="0" borderId="12" xfId="0" applyNumberFormat="1" applyFont="1" applyBorder="1"/>
    <xf numFmtId="0" fontId="20" fillId="0" borderId="13" xfId="0" applyFont="1" applyBorder="1" applyAlignment="1">
      <alignment horizontal="center"/>
    </xf>
    <xf numFmtId="0" fontId="20" fillId="0" borderId="13" xfId="0" applyFont="1" applyBorder="1"/>
    <xf numFmtId="0" fontId="20" fillId="0" borderId="10" xfId="0" applyFont="1" applyBorder="1" applyAlignment="1">
      <alignment horizontal="left"/>
    </xf>
    <xf numFmtId="0" fontId="20" fillId="0" borderId="12" xfId="0" applyFont="1" applyBorder="1" applyAlignment="1">
      <alignment horizontal="center"/>
    </xf>
    <xf numFmtId="0" fontId="20" fillId="0" borderId="14" xfId="0" applyFont="1" applyBorder="1" applyAlignment="1">
      <alignment horizontal="center"/>
    </xf>
    <xf numFmtId="0" fontId="20" fillId="0" borderId="15" xfId="0" applyFont="1" applyBorder="1"/>
    <xf numFmtId="0" fontId="20" fillId="0" borderId="14" xfId="0" applyFont="1" applyBorder="1" applyAlignment="1">
      <alignment horizontal="left"/>
    </xf>
    <xf numFmtId="0" fontId="20" fillId="0" borderId="16" xfId="0" applyFont="1" applyBorder="1" applyAlignment="1">
      <alignment horizontal="center"/>
    </xf>
    <xf numFmtId="49" fontId="20" fillId="0" borderId="12" xfId="0" quotePrefix="1" applyNumberFormat="1" applyFont="1" applyBorder="1"/>
    <xf numFmtId="0" fontId="20" fillId="0" borderId="7" xfId="0" applyFont="1" applyBorder="1" applyAlignment="1">
      <alignment horizontal="center"/>
    </xf>
    <xf numFmtId="0" fontId="20" fillId="0" borderId="12" xfId="0" quotePrefix="1" applyNumberFormat="1" applyFont="1" applyBorder="1"/>
    <xf numFmtId="0" fontId="20" fillId="0" borderId="12" xfId="0" applyNumberFormat="1" applyFont="1" applyBorder="1"/>
    <xf numFmtId="49" fontId="20" fillId="0" borderId="0" xfId="0" applyNumberFormat="1" applyFont="1"/>
    <xf numFmtId="0" fontId="20" fillId="0" borderId="17" xfId="0" applyFont="1" applyBorder="1"/>
    <xf numFmtId="0" fontId="20" fillId="0" borderId="4" xfId="0" applyFont="1" applyBorder="1" applyAlignment="1">
      <alignment horizontal="center"/>
    </xf>
    <xf numFmtId="0" fontId="20" fillId="0" borderId="18" xfId="0" applyFont="1" applyBorder="1"/>
    <xf numFmtId="0" fontId="20" fillId="0" borderId="13" xfId="0" applyFont="1" applyBorder="1" applyAlignment="1">
      <alignment horizontal="left"/>
    </xf>
    <xf numFmtId="0" fontId="20" fillId="0" borderId="14" xfId="0" applyFont="1" applyBorder="1"/>
    <xf numFmtId="49" fontId="20" fillId="0" borderId="16" xfId="0" applyNumberFormat="1" applyFont="1" applyBorder="1"/>
    <xf numFmtId="0" fontId="20" fillId="0" borderId="17" xfId="0" applyFont="1" applyBorder="1" applyAlignment="1">
      <alignment horizontal="center"/>
    </xf>
    <xf numFmtId="0" fontId="20" fillId="0" borderId="19" xfId="0" applyFont="1" applyBorder="1"/>
    <xf numFmtId="0" fontId="20" fillId="0" borderId="20" xfId="0" applyFont="1" applyBorder="1"/>
    <xf numFmtId="0" fontId="20" fillId="0" borderId="20" xfId="0" applyFont="1" applyBorder="1" applyAlignment="1">
      <alignment horizontal="center"/>
    </xf>
    <xf numFmtId="49" fontId="20" fillId="0" borderId="21" xfId="0" quotePrefix="1" applyNumberFormat="1" applyFont="1" applyBorder="1"/>
    <xf numFmtId="0" fontId="20" fillId="0" borderId="0" xfId="0" applyFont="1" applyAlignment="1">
      <alignment horizontal="center"/>
    </xf>
    <xf numFmtId="0" fontId="20" fillId="0" borderId="22" xfId="0" applyFont="1" applyBorder="1"/>
    <xf numFmtId="0" fontId="20" fillId="0" borderId="23" xfId="0" applyFont="1" applyBorder="1"/>
    <xf numFmtId="0" fontId="20" fillId="0" borderId="23" xfId="0" applyFont="1" applyBorder="1" applyAlignment="1">
      <alignment horizontal="center"/>
    </xf>
    <xf numFmtId="49" fontId="20" fillId="0" borderId="24" xfId="0" applyNumberFormat="1" applyFont="1" applyBorder="1"/>
    <xf numFmtId="0" fontId="20" fillId="4" borderId="23" xfId="0" applyFont="1" applyFill="1" applyBorder="1" applyAlignment="1">
      <alignment horizontal="center"/>
    </xf>
    <xf numFmtId="0" fontId="20" fillId="0" borderId="24" xfId="0" applyNumberFormat="1" applyFont="1" applyBorder="1"/>
    <xf numFmtId="0" fontId="20" fillId="0" borderId="24" xfId="0" applyFont="1" applyBorder="1"/>
    <xf numFmtId="49" fontId="20" fillId="0" borderId="24" xfId="0" quotePrefix="1" applyNumberFormat="1" applyFont="1" applyBorder="1"/>
    <xf numFmtId="0" fontId="20" fillId="0" borderId="25" xfId="0" applyFont="1" applyBorder="1"/>
    <xf numFmtId="0" fontId="20" fillId="0" borderId="26" xfId="0" applyFont="1" applyBorder="1"/>
    <xf numFmtId="0" fontId="20" fillId="0" borderId="26" xfId="0" applyFont="1" applyBorder="1" applyAlignment="1">
      <alignment horizontal="center"/>
    </xf>
    <xf numFmtId="49" fontId="20" fillId="0" borderId="27" xfId="0" applyNumberFormat="1" applyFont="1" applyBorder="1"/>
    <xf numFmtId="0" fontId="18" fillId="3" borderId="28" xfId="0" applyFont="1" applyFill="1" applyBorder="1" applyAlignment="1">
      <alignment horizontal="center"/>
    </xf>
    <xf numFmtId="0" fontId="20" fillId="0" borderId="17" xfId="0" applyFont="1" applyBorder="1" applyAlignment="1">
      <alignment horizontal="left"/>
    </xf>
    <xf numFmtId="0" fontId="20" fillId="0" borderId="19" xfId="0" applyFont="1" applyBorder="1" applyAlignment="1">
      <alignment horizontal="center"/>
    </xf>
    <xf numFmtId="0" fontId="18" fillId="3" borderId="3" xfId="0" applyFont="1" applyFill="1" applyBorder="1" applyAlignment="1">
      <alignment horizontal="center"/>
    </xf>
    <xf numFmtId="0" fontId="20" fillId="0" borderId="22" xfId="0" applyFont="1" applyBorder="1" applyAlignment="1">
      <alignment horizontal="center"/>
    </xf>
    <xf numFmtId="0" fontId="20" fillId="0" borderId="25" xfId="0" applyFont="1" applyBorder="1" applyAlignment="1">
      <alignment horizontal="center"/>
    </xf>
    <xf numFmtId="0" fontId="6" fillId="2" borderId="0" xfId="0" applyFont="1" applyFill="1" applyBorder="1"/>
    <xf numFmtId="0" fontId="6" fillId="2" borderId="29" xfId="0" applyFont="1" applyFill="1" applyBorder="1"/>
    <xf numFmtId="0" fontId="6" fillId="2" borderId="30" xfId="0" applyFont="1" applyFill="1" applyBorder="1"/>
    <xf numFmtId="0" fontId="6" fillId="2" borderId="30" xfId="0" applyFont="1" applyFill="1" applyBorder="1" applyAlignment="1"/>
    <xf numFmtId="0" fontId="2" fillId="5" borderId="31" xfId="0" applyFont="1" applyFill="1" applyBorder="1" applyAlignment="1">
      <alignment horizontal="center"/>
    </xf>
    <xf numFmtId="0" fontId="6" fillId="2" borderId="32" xfId="0" applyFont="1" applyFill="1" applyBorder="1" applyAlignment="1">
      <alignment horizontal="center"/>
    </xf>
    <xf numFmtId="0" fontId="18" fillId="3" borderId="33" xfId="0" applyFont="1" applyFill="1" applyBorder="1" applyAlignment="1">
      <alignment horizontal="center"/>
    </xf>
    <xf numFmtId="0" fontId="20" fillId="0" borderId="0" xfId="0" applyFont="1" applyBorder="1" applyAlignment="1">
      <alignment horizontal="left"/>
    </xf>
    <xf numFmtId="0" fontId="20" fillId="0" borderId="0" xfId="0" applyFont="1" applyBorder="1" applyAlignment="1">
      <alignment horizontal="center"/>
    </xf>
    <xf numFmtId="0" fontId="20" fillId="0" borderId="34" xfId="0" applyFont="1" applyBorder="1" applyAlignment="1">
      <alignment horizontal="center"/>
    </xf>
    <xf numFmtId="0" fontId="20" fillId="0" borderId="18" xfId="0" applyFont="1" applyBorder="1" applyAlignment="1">
      <alignment horizontal="left"/>
    </xf>
    <xf numFmtId="0" fontId="18" fillId="0" borderId="35" xfId="0" applyFont="1" applyBorder="1" applyAlignment="1">
      <alignment horizontal="center"/>
    </xf>
    <xf numFmtId="0" fontId="18" fillId="0" borderId="36" xfId="0" applyFont="1" applyBorder="1" applyAlignment="1">
      <alignment horizontal="center"/>
    </xf>
    <xf numFmtId="0" fontId="18" fillId="0" borderId="37" xfId="0" applyFont="1" applyBorder="1" applyAlignment="1">
      <alignment horizontal="center"/>
    </xf>
    <xf numFmtId="0" fontId="20" fillId="0" borderId="38" xfId="0" applyFont="1" applyBorder="1"/>
    <xf numFmtId="0" fontId="20" fillId="0" borderId="39" xfId="0" applyFont="1" applyBorder="1"/>
    <xf numFmtId="0" fontId="20" fillId="0" borderId="40" xfId="0" applyFont="1" applyBorder="1"/>
    <xf numFmtId="0" fontId="20" fillId="0" borderId="41" xfId="0" applyFont="1" applyBorder="1"/>
    <xf numFmtId="0" fontId="20" fillId="0" borderId="42" xfId="0" applyFont="1" applyBorder="1"/>
    <xf numFmtId="0" fontId="20" fillId="0" borderId="43" xfId="0" applyFont="1" applyBorder="1"/>
    <xf numFmtId="0" fontId="5" fillId="2" borderId="0" xfId="0" applyFont="1" applyFill="1"/>
    <xf numFmtId="0" fontId="18" fillId="0" borderId="44" xfId="0" applyFont="1" applyBorder="1" applyAlignment="1">
      <alignment horizontal="center"/>
    </xf>
    <xf numFmtId="0" fontId="20" fillId="0" borderId="45" xfId="0" applyFont="1" applyBorder="1" applyAlignment="1">
      <alignment horizontal="center"/>
    </xf>
    <xf numFmtId="0" fontId="20" fillId="0" borderId="46" xfId="0" applyFont="1" applyBorder="1" applyAlignment="1">
      <alignment horizontal="center"/>
    </xf>
    <xf numFmtId="0" fontId="20" fillId="0" borderId="47" xfId="0" applyFont="1" applyBorder="1" applyAlignment="1">
      <alignment horizontal="center"/>
    </xf>
    <xf numFmtId="0" fontId="18" fillId="0" borderId="4" xfId="0" applyFont="1" applyBorder="1"/>
    <xf numFmtId="0" fontId="0" fillId="0" borderId="0" xfId="0" applyAlignment="1"/>
    <xf numFmtId="0" fontId="20" fillId="0" borderId="9" xfId="0" applyFont="1" applyBorder="1" applyAlignment="1">
      <alignment horizontal="left"/>
    </xf>
    <xf numFmtId="0" fontId="18" fillId="3" borderId="4" xfId="0" applyFont="1" applyFill="1" applyBorder="1" applyAlignment="1">
      <alignment horizontal="left"/>
    </xf>
    <xf numFmtId="0" fontId="18" fillId="0" borderId="11" xfId="0" applyFont="1" applyBorder="1"/>
    <xf numFmtId="0" fontId="18" fillId="0" borderId="15" xfId="0" applyFont="1" applyBorder="1"/>
    <xf numFmtId="0" fontId="20" fillId="0" borderId="16" xfId="0" applyFont="1" applyBorder="1"/>
    <xf numFmtId="0" fontId="18" fillId="0" borderId="6" xfId="0" applyFont="1" applyBorder="1"/>
    <xf numFmtId="0" fontId="20" fillId="0" borderId="11" xfId="0" applyFont="1" applyBorder="1" applyAlignment="1">
      <alignment horizontal="center"/>
    </xf>
    <xf numFmtId="0" fontId="20" fillId="0" borderId="15" xfId="0" applyFont="1" applyBorder="1" applyAlignment="1">
      <alignment horizontal="center"/>
    </xf>
    <xf numFmtId="0" fontId="18" fillId="3" borderId="48" xfId="0" applyFont="1" applyFill="1" applyBorder="1" applyAlignment="1">
      <alignment horizontal="center"/>
    </xf>
    <xf numFmtId="0" fontId="18" fillId="3" borderId="49" xfId="0" applyFont="1" applyFill="1" applyBorder="1" applyAlignment="1">
      <alignment horizontal="center"/>
    </xf>
    <xf numFmtId="0" fontId="18" fillId="3" borderId="0" xfId="0" applyFont="1" applyFill="1"/>
    <xf numFmtId="0" fontId="20" fillId="4" borderId="9" xfId="0" applyFont="1" applyFill="1" applyBorder="1" applyAlignment="1">
      <alignment horizontal="center"/>
    </xf>
    <xf numFmtId="49" fontId="20" fillId="0" borderId="34" xfId="0" applyNumberFormat="1" applyFont="1" applyBorder="1"/>
    <xf numFmtId="0" fontId="20" fillId="4" borderId="50" xfId="0" applyFont="1" applyFill="1" applyBorder="1" applyAlignment="1">
      <alignment horizontal="center"/>
    </xf>
    <xf numFmtId="0" fontId="20" fillId="0" borderId="24" xfId="0" applyNumberFormat="1" applyFont="1" applyBorder="1" applyAlignment="1">
      <alignment horizontal="center"/>
    </xf>
    <xf numFmtId="0" fontId="11" fillId="0" borderId="51" xfId="0" applyFont="1" applyBorder="1" applyAlignment="1">
      <alignment horizontal="center"/>
    </xf>
    <xf numFmtId="0" fontId="18" fillId="3" borderId="52" xfId="0" applyFont="1" applyFill="1" applyBorder="1" applyAlignment="1">
      <alignment horizontal="center"/>
    </xf>
    <xf numFmtId="0" fontId="20" fillId="0" borderId="53" xfId="0" applyNumberFormat="1" applyFont="1" applyBorder="1" applyAlignment="1">
      <alignment horizontal="center"/>
    </xf>
    <xf numFmtId="0" fontId="20" fillId="0" borderId="24" xfId="0" quotePrefix="1" applyNumberFormat="1" applyFont="1" applyBorder="1" applyAlignment="1">
      <alignment horizontal="center"/>
    </xf>
    <xf numFmtId="0" fontId="20" fillId="0" borderId="27" xfId="0" applyNumberFormat="1" applyFont="1" applyBorder="1" applyAlignment="1">
      <alignment horizontal="center"/>
    </xf>
    <xf numFmtId="49" fontId="20" fillId="0" borderId="34" xfId="0" applyNumberFormat="1" applyFont="1" applyBorder="1" applyAlignment="1">
      <alignment horizontal="center"/>
    </xf>
    <xf numFmtId="0" fontId="20" fillId="0" borderId="23" xfId="0" applyNumberFormat="1" applyFont="1" applyBorder="1" applyAlignment="1">
      <alignment horizontal="center"/>
    </xf>
    <xf numFmtId="0" fontId="6" fillId="0" borderId="0" xfId="0" applyFont="1" applyAlignment="1">
      <alignment horizontal="left"/>
    </xf>
    <xf numFmtId="0" fontId="20" fillId="0" borderId="20" xfId="0" quotePrefix="1" applyNumberFormat="1" applyFont="1" applyBorder="1" applyAlignment="1">
      <alignment horizontal="center"/>
    </xf>
    <xf numFmtId="0" fontId="20" fillId="0" borderId="23" xfId="0" quotePrefix="1" applyNumberFormat="1" applyFont="1" applyBorder="1" applyAlignment="1">
      <alignment horizontal="center"/>
    </xf>
    <xf numFmtId="0" fontId="20" fillId="0" borderId="26" xfId="0" applyNumberFormat="1" applyFont="1" applyBorder="1" applyAlignment="1">
      <alignment horizontal="center"/>
    </xf>
    <xf numFmtId="0" fontId="20" fillId="0" borderId="34" xfId="0" applyNumberFormat="1" applyFont="1" applyBorder="1"/>
    <xf numFmtId="0" fontId="20" fillId="0" borderId="34" xfId="0" applyFont="1" applyBorder="1"/>
    <xf numFmtId="0" fontId="20" fillId="0" borderId="11" xfId="0" applyNumberFormat="1" applyFont="1" applyBorder="1"/>
    <xf numFmtId="0" fontId="20" fillId="0" borderId="15" xfId="0" applyNumberFormat="1" applyFont="1" applyBorder="1"/>
    <xf numFmtId="0" fontId="20" fillId="0" borderId="16" xfId="0" applyNumberFormat="1" applyFont="1" applyBorder="1"/>
    <xf numFmtId="0" fontId="18" fillId="3" borderId="52" xfId="0" applyFont="1" applyFill="1" applyBorder="1" applyAlignment="1">
      <alignment horizontal="center" wrapText="1"/>
    </xf>
    <xf numFmtId="0" fontId="20" fillId="0" borderId="11" xfId="0" applyFont="1" applyBorder="1" applyAlignment="1">
      <alignment horizontal="left"/>
    </xf>
    <xf numFmtId="0" fontId="20" fillId="0" borderId="15" xfId="0" applyFont="1" applyBorder="1" applyAlignment="1">
      <alignment horizontal="left"/>
    </xf>
    <xf numFmtId="0" fontId="20" fillId="0" borderId="48" xfId="0" quotePrefix="1" applyNumberFormat="1" applyFont="1" applyBorder="1"/>
    <xf numFmtId="0" fontId="20" fillId="0" borderId="49" xfId="0" quotePrefix="1" applyNumberFormat="1" applyFont="1" applyBorder="1"/>
    <xf numFmtId="0" fontId="20" fillId="0" borderId="11" xfId="0" quotePrefix="1" applyNumberFormat="1" applyFont="1" applyBorder="1"/>
    <xf numFmtId="0" fontId="18" fillId="3" borderId="3" xfId="0" applyFont="1" applyFill="1" applyBorder="1" applyAlignment="1">
      <alignment wrapText="1"/>
    </xf>
    <xf numFmtId="0" fontId="20" fillId="0" borderId="6" xfId="0" applyNumberFormat="1" applyFont="1" applyBorder="1"/>
    <xf numFmtId="0" fontId="20" fillId="0" borderId="7" xfId="0" applyNumberFormat="1" applyFont="1" applyBorder="1"/>
    <xf numFmtId="0" fontId="20" fillId="0" borderId="3" xfId="0" applyFont="1" applyBorder="1" applyAlignment="1">
      <alignment horizontal="center"/>
    </xf>
    <xf numFmtId="0" fontId="20" fillId="0" borderId="2" xfId="0" applyFont="1" applyBorder="1" applyAlignment="1">
      <alignment horizontal="center"/>
    </xf>
    <xf numFmtId="0" fontId="20" fillId="0" borderId="1" xfId="0" applyFont="1" applyBorder="1" applyAlignment="1">
      <alignment horizontal="center"/>
    </xf>
    <xf numFmtId="0" fontId="18" fillId="0" borderId="17" xfId="0" applyFont="1" applyBorder="1" applyAlignment="1">
      <alignment horizontal="right"/>
    </xf>
    <xf numFmtId="167" fontId="20" fillId="0" borderId="48" xfId="0" applyNumberFormat="1" applyFont="1" applyBorder="1" applyAlignment="1">
      <alignment horizontal="center"/>
    </xf>
    <xf numFmtId="167" fontId="20" fillId="0" borderId="49" xfId="0" applyNumberFormat="1" applyFont="1" applyBorder="1" applyAlignment="1">
      <alignment horizontal="center"/>
    </xf>
    <xf numFmtId="167" fontId="20" fillId="0" borderId="54" xfId="0" applyNumberFormat="1" applyFont="1" applyBorder="1" applyAlignment="1">
      <alignment horizontal="center"/>
    </xf>
    <xf numFmtId="167" fontId="20" fillId="0" borderId="11" xfId="0" applyNumberFormat="1" applyFont="1" applyBorder="1" applyAlignment="1">
      <alignment horizontal="center"/>
    </xf>
    <xf numFmtId="167" fontId="20" fillId="0" borderId="12" xfId="0" applyNumberFormat="1" applyFont="1" applyBorder="1" applyAlignment="1">
      <alignment horizontal="center"/>
    </xf>
    <xf numFmtId="167" fontId="20" fillId="0" borderId="10" xfId="0" applyNumberFormat="1" applyFont="1" applyBorder="1" applyAlignment="1">
      <alignment horizontal="center"/>
    </xf>
    <xf numFmtId="167" fontId="20" fillId="0" borderId="15" xfId="0" applyNumberFormat="1" applyFont="1" applyBorder="1" applyAlignment="1">
      <alignment horizontal="center"/>
    </xf>
    <xf numFmtId="167" fontId="20" fillId="0" borderId="16" xfId="0" applyNumberFormat="1" applyFont="1" applyBorder="1" applyAlignment="1">
      <alignment horizontal="center"/>
    </xf>
    <xf numFmtId="167" fontId="20" fillId="0" borderId="14" xfId="0" applyNumberFormat="1" applyFont="1" applyBorder="1" applyAlignment="1">
      <alignment horizontal="center"/>
    </xf>
    <xf numFmtId="167" fontId="18" fillId="0" borderId="15" xfId="0" applyNumberFormat="1" applyFont="1" applyBorder="1" applyAlignment="1">
      <alignment horizontal="center"/>
    </xf>
    <xf numFmtId="167" fontId="18" fillId="0" borderId="16" xfId="0" applyNumberFormat="1" applyFont="1" applyBorder="1" applyAlignment="1">
      <alignment horizontal="center"/>
    </xf>
    <xf numFmtId="167" fontId="18" fillId="0" borderId="14" xfId="0" applyNumberFormat="1" applyFont="1" applyBorder="1" applyAlignment="1">
      <alignment horizontal="center"/>
    </xf>
    <xf numFmtId="0" fontId="6" fillId="0" borderId="55" xfId="0" applyFont="1" applyBorder="1" applyAlignment="1">
      <alignment horizontal="center" vertical="center"/>
    </xf>
    <xf numFmtId="0" fontId="1" fillId="0" borderId="11" xfId="0" applyFont="1" applyBorder="1" applyAlignment="1">
      <alignment horizontal="left"/>
    </xf>
    <xf numFmtId="0" fontId="1" fillId="0" borderId="6" xfId="0" applyFont="1" applyBorder="1" applyAlignment="1">
      <alignment horizontal="left"/>
    </xf>
    <xf numFmtId="0" fontId="18" fillId="3" borderId="3" xfId="0" applyFont="1" applyFill="1" applyBorder="1" applyAlignment="1">
      <alignment horizontal="left"/>
    </xf>
    <xf numFmtId="0" fontId="20" fillId="0" borderId="6" xfId="0" applyFont="1" applyBorder="1" applyAlignment="1">
      <alignment horizontal="left"/>
    </xf>
    <xf numFmtId="0" fontId="20" fillId="0" borderId="56" xfId="0" applyFont="1" applyBorder="1" applyAlignment="1">
      <alignment horizontal="center"/>
    </xf>
    <xf numFmtId="0" fontId="20" fillId="0" borderId="57" xfId="0" applyFont="1" applyBorder="1" applyAlignment="1">
      <alignment horizontal="center"/>
    </xf>
    <xf numFmtId="0" fontId="20" fillId="0" borderId="58" xfId="0" applyFont="1" applyBorder="1" applyAlignment="1">
      <alignment horizontal="center"/>
    </xf>
    <xf numFmtId="49" fontId="20" fillId="0" borderId="10" xfId="0" applyNumberFormat="1" applyFont="1" applyBorder="1" applyAlignment="1">
      <alignment horizontal="center"/>
    </xf>
    <xf numFmtId="49" fontId="20" fillId="0" borderId="10" xfId="0" applyNumberFormat="1" applyFont="1" applyBorder="1"/>
    <xf numFmtId="49" fontId="20" fillId="0" borderId="14" xfId="0" applyNumberFormat="1" applyFont="1" applyBorder="1"/>
    <xf numFmtId="0" fontId="20" fillId="0" borderId="57" xfId="0" applyFont="1" applyBorder="1"/>
    <xf numFmtId="0" fontId="20" fillId="0" borderId="58" xfId="0" applyFont="1" applyBorder="1"/>
    <xf numFmtId="167" fontId="20" fillId="0" borderId="8" xfId="0" applyNumberFormat="1" applyFont="1" applyBorder="1" applyAlignment="1">
      <alignment horizontal="center"/>
    </xf>
    <xf numFmtId="167" fontId="20" fillId="0" borderId="13" xfId="0" applyNumberFormat="1" applyFont="1" applyBorder="1" applyAlignment="1">
      <alignment horizontal="center"/>
    </xf>
    <xf numFmtId="167" fontId="20" fillId="0" borderId="17" xfId="0" applyNumberFormat="1" applyFont="1" applyBorder="1" applyAlignment="1">
      <alignment horizontal="center"/>
    </xf>
    <xf numFmtId="0" fontId="20" fillId="3" borderId="8" xfId="0" applyFont="1" applyFill="1" applyBorder="1" applyAlignment="1">
      <alignment horizontal="center"/>
    </xf>
    <xf numFmtId="0" fontId="20" fillId="3" borderId="13" xfId="0" applyFont="1" applyFill="1" applyBorder="1" applyAlignment="1">
      <alignment horizontal="center"/>
    </xf>
    <xf numFmtId="0" fontId="20" fillId="3" borderId="17" xfId="0" applyFont="1" applyFill="1" applyBorder="1" applyAlignment="1">
      <alignment horizontal="center"/>
    </xf>
    <xf numFmtId="0" fontId="18" fillId="3" borderId="4" xfId="0" applyFont="1" applyFill="1" applyBorder="1"/>
    <xf numFmtId="0" fontId="18" fillId="3" borderId="44" xfId="0" applyFont="1" applyFill="1" applyBorder="1" applyAlignment="1">
      <alignment horizontal="center"/>
    </xf>
    <xf numFmtId="0" fontId="20" fillId="4" borderId="16" xfId="0" applyFont="1" applyFill="1" applyBorder="1" applyAlignment="1">
      <alignment horizontal="center"/>
    </xf>
    <xf numFmtId="0" fontId="20" fillId="0" borderId="47" xfId="0" applyFont="1" applyBorder="1"/>
    <xf numFmtId="167" fontId="20" fillId="0" borderId="7" xfId="0" applyNumberFormat="1" applyFont="1" applyBorder="1" applyAlignment="1">
      <alignment horizontal="center"/>
    </xf>
    <xf numFmtId="0" fontId="10" fillId="5" borderId="59" xfId="0" applyFont="1" applyFill="1" applyBorder="1" applyAlignment="1">
      <alignment horizontal="center" vertical="center"/>
    </xf>
    <xf numFmtId="0" fontId="10" fillId="5" borderId="60" xfId="0" applyFont="1" applyFill="1" applyBorder="1" applyAlignment="1">
      <alignment horizontal="center" vertical="center"/>
    </xf>
    <xf numFmtId="0" fontId="0" fillId="0" borderId="0" xfId="0" applyBorder="1" applyAlignment="1"/>
    <xf numFmtId="0" fontId="6" fillId="2" borderId="61" xfId="0" applyFont="1" applyFill="1" applyBorder="1"/>
    <xf numFmtId="0" fontId="2" fillId="5" borderId="62" xfId="0" applyFont="1" applyFill="1" applyBorder="1" applyAlignment="1">
      <alignment horizontal="center" vertical="center" wrapText="1"/>
    </xf>
    <xf numFmtId="0" fontId="37" fillId="0" borderId="0" xfId="0" applyFont="1" applyBorder="1" applyAlignment="1">
      <alignment horizontal="center" vertical="center"/>
    </xf>
    <xf numFmtId="0" fontId="3" fillId="5" borderId="63" xfId="0" applyFont="1" applyFill="1" applyBorder="1"/>
    <xf numFmtId="0" fontId="5" fillId="0" borderId="64" xfId="0" applyFont="1" applyBorder="1" applyAlignment="1">
      <alignment vertical="center"/>
    </xf>
    <xf numFmtId="0" fontId="10" fillId="5" borderId="65" xfId="0" applyFont="1" applyFill="1" applyBorder="1" applyAlignment="1">
      <alignment horizontal="center"/>
    </xf>
    <xf numFmtId="0" fontId="20" fillId="0" borderId="56" xfId="0" applyFont="1" applyBorder="1"/>
    <xf numFmtId="0" fontId="20" fillId="0" borderId="5" xfId="0" applyFont="1" applyBorder="1" applyAlignment="1">
      <alignment horizontal="left"/>
    </xf>
    <xf numFmtId="0" fontId="20" fillId="0" borderId="0" xfId="0" applyFont="1" applyAlignment="1">
      <alignment horizontal="left"/>
    </xf>
    <xf numFmtId="0" fontId="18" fillId="4" borderId="52" xfId="0" applyFont="1" applyFill="1" applyBorder="1"/>
    <xf numFmtId="0" fontId="20" fillId="3" borderId="4" xfId="0" applyFont="1" applyFill="1" applyBorder="1" applyAlignment="1">
      <alignment horizontal="center"/>
    </xf>
    <xf numFmtId="0" fontId="6" fillId="0" borderId="4" xfId="0" applyFont="1" applyBorder="1"/>
    <xf numFmtId="0" fontId="6" fillId="0" borderId="4" xfId="0" applyFont="1" applyBorder="1" applyAlignment="1">
      <alignment horizontal="left"/>
    </xf>
    <xf numFmtId="0" fontId="13" fillId="0" borderId="0" xfId="0" applyFont="1" applyAlignment="1">
      <alignment horizontal="left"/>
    </xf>
    <xf numFmtId="0" fontId="0" fillId="0" borderId="0" xfId="0" applyBorder="1"/>
    <xf numFmtId="0" fontId="5" fillId="2" borderId="0" xfId="0" applyFont="1" applyFill="1" applyAlignment="1">
      <alignment horizontal="right"/>
    </xf>
    <xf numFmtId="0" fontId="6" fillId="2" borderId="0" xfId="0" applyFont="1" applyFill="1" applyBorder="1" applyAlignment="1">
      <alignment horizontal="right"/>
    </xf>
    <xf numFmtId="0" fontId="0" fillId="2" borderId="0" xfId="0" applyFill="1" applyBorder="1"/>
    <xf numFmtId="0" fontId="10" fillId="5" borderId="66" xfId="0" applyFont="1" applyFill="1" applyBorder="1" applyAlignment="1">
      <alignment horizontal="center" vertical="center"/>
    </xf>
    <xf numFmtId="164" fontId="5" fillId="0" borderId="67" xfId="0" applyNumberFormat="1" applyFont="1" applyFill="1" applyBorder="1" applyAlignment="1" applyProtection="1">
      <alignment horizontal="center"/>
      <protection locked="0"/>
    </xf>
    <xf numFmtId="164" fontId="5" fillId="0" borderId="68" xfId="0" applyNumberFormat="1" applyFont="1" applyFill="1" applyBorder="1" applyAlignment="1" applyProtection="1">
      <alignment horizontal="center"/>
      <protection locked="0"/>
    </xf>
    <xf numFmtId="164" fontId="5" fillId="0" borderId="69" xfId="0" applyNumberFormat="1" applyFont="1" applyFill="1" applyBorder="1" applyAlignment="1" applyProtection="1">
      <alignment horizontal="center"/>
      <protection locked="0"/>
    </xf>
    <xf numFmtId="0" fontId="17" fillId="6" borderId="70" xfId="0" applyFont="1" applyFill="1" applyBorder="1" applyAlignment="1">
      <alignment horizontal="right" vertical="center" indent="1"/>
    </xf>
    <xf numFmtId="0" fontId="17" fillId="6" borderId="71" xfId="0" applyFont="1" applyFill="1" applyBorder="1" applyAlignment="1">
      <alignment horizontal="right" vertical="center" indent="1"/>
    </xf>
    <xf numFmtId="0" fontId="17" fillId="6" borderId="72" xfId="0" applyFont="1" applyFill="1" applyBorder="1" applyAlignment="1">
      <alignment horizontal="right" vertical="center" indent="1"/>
    </xf>
    <xf numFmtId="0" fontId="17" fillId="6" borderId="73" xfId="0" applyFont="1" applyFill="1" applyBorder="1" applyAlignment="1">
      <alignment horizontal="right" vertical="center" indent="1"/>
    </xf>
    <xf numFmtId="0" fontId="17" fillId="6" borderId="74" xfId="0" applyFont="1" applyFill="1" applyBorder="1" applyAlignment="1">
      <alignment horizontal="right" vertical="center" indent="1"/>
    </xf>
    <xf numFmtId="0" fontId="28" fillId="6" borderId="0" xfId="0" applyFont="1" applyFill="1" applyBorder="1" applyAlignment="1">
      <alignment horizontal="left" vertical="top"/>
    </xf>
    <xf numFmtId="0" fontId="5" fillId="6" borderId="75" xfId="0" applyFont="1" applyFill="1" applyBorder="1" applyAlignment="1">
      <alignment horizontal="center" vertical="center"/>
    </xf>
    <xf numFmtId="0" fontId="5" fillId="6" borderId="59" xfId="0" applyFont="1" applyFill="1" applyBorder="1" applyAlignment="1">
      <alignment horizontal="center" vertical="center"/>
    </xf>
    <xf numFmtId="0" fontId="12" fillId="6" borderId="76" xfId="0" applyFont="1" applyFill="1" applyBorder="1" applyAlignment="1">
      <alignment horizontal="left" indent="1"/>
    </xf>
    <xf numFmtId="0" fontId="3" fillId="5" borderId="75" xfId="0" applyFont="1" applyFill="1" applyBorder="1" applyAlignment="1">
      <alignment horizontal="right" indent="1"/>
    </xf>
    <xf numFmtId="0" fontId="3" fillId="5" borderId="77" xfId="0" applyFont="1" applyFill="1" applyBorder="1" applyAlignment="1">
      <alignment horizontal="right" indent="1"/>
    </xf>
    <xf numFmtId="0" fontId="10" fillId="5" borderId="78" xfId="0" applyFont="1" applyFill="1" applyBorder="1" applyAlignment="1">
      <alignment horizontal="center" vertical="center"/>
    </xf>
    <xf numFmtId="0" fontId="0" fillId="2" borderId="61" xfId="0" applyFill="1" applyBorder="1"/>
    <xf numFmtId="0" fontId="19" fillId="6" borderId="75" xfId="0" applyFont="1" applyFill="1" applyBorder="1" applyAlignment="1">
      <alignment horizontal="center" vertical="center"/>
    </xf>
    <xf numFmtId="0" fontId="13" fillId="0" borderId="0" xfId="0" applyFont="1" applyAlignment="1">
      <alignment horizontal="right" indent="1"/>
    </xf>
    <xf numFmtId="0" fontId="6" fillId="2" borderId="79" xfId="0" applyFont="1" applyFill="1" applyBorder="1" applyAlignment="1"/>
    <xf numFmtId="0" fontId="34" fillId="5" borderId="0" xfId="0" applyFont="1" applyFill="1" applyAlignment="1">
      <alignment horizontal="right"/>
    </xf>
    <xf numFmtId="0" fontId="34" fillId="5" borderId="4" xfId="0" applyFont="1" applyFill="1" applyBorder="1" applyAlignment="1">
      <alignment horizontal="center"/>
    </xf>
    <xf numFmtId="0" fontId="6" fillId="0" borderId="4" xfId="0" applyFont="1" applyBorder="1" applyAlignment="1">
      <alignment horizontal="center"/>
    </xf>
    <xf numFmtId="0" fontId="12" fillId="0" borderId="4" xfId="0" applyFont="1" applyBorder="1" applyAlignment="1">
      <alignment horizontal="center"/>
    </xf>
    <xf numFmtId="0" fontId="20" fillId="0" borderId="4" xfId="0" applyFont="1" applyBorder="1"/>
    <xf numFmtId="0" fontId="18" fillId="3" borderId="4" xfId="0" applyFont="1" applyFill="1" applyBorder="1" applyAlignment="1">
      <alignment horizontal="center" wrapText="1"/>
    </xf>
    <xf numFmtId="169" fontId="20" fillId="0" borderId="48" xfId="0" applyNumberFormat="1" applyFont="1" applyBorder="1" applyAlignment="1">
      <alignment horizontal="left"/>
    </xf>
    <xf numFmtId="169" fontId="20" fillId="0" borderId="54" xfId="0" applyNumberFormat="1" applyFont="1" applyBorder="1" applyAlignment="1">
      <alignment horizontal="center"/>
    </xf>
    <xf numFmtId="169" fontId="20" fillId="0" borderId="11" xfId="0" applyNumberFormat="1" applyFont="1" applyBorder="1" applyAlignment="1">
      <alignment horizontal="left"/>
    </xf>
    <xf numFmtId="169" fontId="20" fillId="0" borderId="10" xfId="0" applyNumberFormat="1" applyFont="1" applyBorder="1" applyAlignment="1">
      <alignment horizontal="center"/>
    </xf>
    <xf numFmtId="169" fontId="20" fillId="0" borderId="15" xfId="0" applyNumberFormat="1" applyFont="1" applyBorder="1" applyAlignment="1">
      <alignment horizontal="left"/>
    </xf>
    <xf numFmtId="169" fontId="20" fillId="0" borderId="14" xfId="0" applyNumberFormat="1" applyFont="1" applyBorder="1" applyAlignment="1">
      <alignment horizontal="center"/>
    </xf>
    <xf numFmtId="169" fontId="20" fillId="0" borderId="18" xfId="0" applyNumberFormat="1" applyFont="1" applyBorder="1" applyAlignment="1">
      <alignment horizontal="center"/>
    </xf>
    <xf numFmtId="169" fontId="20" fillId="0" borderId="13" xfId="0" applyNumberFormat="1" applyFont="1" applyBorder="1" applyAlignment="1">
      <alignment horizontal="center"/>
    </xf>
    <xf numFmtId="169" fontId="20" fillId="0" borderId="17" xfId="0" applyNumberFormat="1" applyFont="1" applyBorder="1" applyAlignment="1">
      <alignment horizontal="center"/>
    </xf>
    <xf numFmtId="169" fontId="20" fillId="0" borderId="19" xfId="0" applyNumberFormat="1" applyFont="1" applyBorder="1" applyAlignment="1">
      <alignment horizontal="center"/>
    </xf>
    <xf numFmtId="169" fontId="20" fillId="0" borderId="22" xfId="0" applyNumberFormat="1" applyFont="1" applyBorder="1" applyAlignment="1">
      <alignment horizontal="center"/>
    </xf>
    <xf numFmtId="169" fontId="20" fillId="0" borderId="25" xfId="0" applyNumberFormat="1" applyFont="1" applyBorder="1" applyAlignment="1">
      <alignment horizontal="center"/>
    </xf>
    <xf numFmtId="0" fontId="20" fillId="0" borderId="18" xfId="0" applyFont="1" applyBorder="1" applyAlignment="1">
      <alignment horizontal="center"/>
    </xf>
    <xf numFmtId="0" fontId="20" fillId="0" borderId="48" xfId="0" applyFont="1" applyBorder="1"/>
    <xf numFmtId="0" fontId="20" fillId="0" borderId="49" xfId="0" applyFont="1" applyBorder="1" applyAlignment="1">
      <alignment horizontal="center"/>
    </xf>
    <xf numFmtId="0" fontId="20" fillId="3" borderId="15" xfId="0" applyFont="1" applyFill="1" applyBorder="1"/>
    <xf numFmtId="0" fontId="6" fillId="0" borderId="9" xfId="0" applyFont="1" applyBorder="1" applyAlignment="1">
      <alignment horizontal="center"/>
    </xf>
    <xf numFmtId="0" fontId="10" fillId="5" borderId="4" xfId="0" applyFont="1" applyFill="1" applyBorder="1" applyAlignment="1">
      <alignment horizontal="center"/>
    </xf>
    <xf numFmtId="0" fontId="0" fillId="0" borderId="4" xfId="0" applyBorder="1"/>
    <xf numFmtId="0" fontId="6" fillId="0" borderId="18" xfId="0" applyFont="1" applyBorder="1"/>
    <xf numFmtId="0" fontId="6" fillId="0" borderId="18" xfId="0" applyFont="1" applyBorder="1" applyAlignment="1">
      <alignment horizontal="left"/>
    </xf>
    <xf numFmtId="1" fontId="6" fillId="0" borderId="18" xfId="0" applyNumberFormat="1" applyFont="1" applyBorder="1"/>
    <xf numFmtId="0" fontId="6" fillId="0" borderId="13" xfId="0" applyFont="1" applyBorder="1"/>
    <xf numFmtId="0" fontId="6" fillId="0" borderId="13" xfId="0" applyFont="1" applyBorder="1" applyAlignment="1">
      <alignment horizontal="left"/>
    </xf>
    <xf numFmtId="1" fontId="6" fillId="0" borderId="13" xfId="0" applyNumberFormat="1" applyFont="1" applyBorder="1"/>
    <xf numFmtId="0" fontId="6" fillId="0" borderId="17" xfId="0" applyFont="1" applyBorder="1"/>
    <xf numFmtId="0" fontId="6" fillId="0" borderId="17" xfId="0" applyFont="1" applyBorder="1" applyAlignment="1">
      <alignment horizontal="left"/>
    </xf>
    <xf numFmtId="1" fontId="6" fillId="0" borderId="17" xfId="0" applyNumberFormat="1" applyFont="1" applyBorder="1"/>
    <xf numFmtId="0" fontId="6" fillId="3" borderId="0" xfId="0" applyFont="1" applyFill="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1" fontId="5" fillId="0" borderId="80" xfId="0" applyNumberFormat="1" applyFont="1" applyBorder="1" applyAlignment="1" applyProtection="1">
      <alignment horizontal="center" vertical="center"/>
      <protection hidden="1"/>
    </xf>
    <xf numFmtId="0" fontId="5" fillId="0" borderId="67" xfId="0" applyFont="1" applyBorder="1" applyAlignment="1" applyProtection="1">
      <alignment horizontal="center" vertical="center"/>
      <protection hidden="1"/>
    </xf>
    <xf numFmtId="0" fontId="5" fillId="2" borderId="0" xfId="0" applyFont="1" applyFill="1" applyProtection="1">
      <protection hidden="1"/>
    </xf>
    <xf numFmtId="1" fontId="5" fillId="0" borderId="68" xfId="0" applyNumberFormat="1" applyFont="1" applyBorder="1" applyAlignment="1" applyProtection="1">
      <alignment horizontal="center" vertical="center"/>
      <protection hidden="1"/>
    </xf>
    <xf numFmtId="0" fontId="5" fillId="0" borderId="68" xfId="0" applyFont="1" applyBorder="1" applyAlignment="1" applyProtection="1">
      <alignment horizontal="center" vertical="center"/>
      <protection hidden="1"/>
    </xf>
    <xf numFmtId="1" fontId="5" fillId="0" borderId="69" xfId="0" applyNumberFormat="1" applyFont="1" applyBorder="1" applyAlignment="1" applyProtection="1">
      <alignment horizontal="center" vertical="center"/>
      <protection hidden="1"/>
    </xf>
    <xf numFmtId="0" fontId="5" fillId="0" borderId="69" xfId="0" applyFont="1" applyBorder="1" applyAlignment="1" applyProtection="1">
      <alignment horizontal="center" vertical="center"/>
      <protection hidden="1"/>
    </xf>
    <xf numFmtId="168" fontId="5" fillId="0" borderId="67" xfId="0" applyNumberFormat="1" applyFont="1" applyBorder="1" applyAlignment="1" applyProtection="1">
      <alignment horizontal="center" vertical="center"/>
      <protection hidden="1"/>
    </xf>
    <xf numFmtId="168" fontId="5" fillId="0" borderId="68" xfId="0" applyNumberFormat="1" applyFont="1" applyBorder="1" applyAlignment="1" applyProtection="1">
      <alignment horizontal="center" vertical="center"/>
      <protection hidden="1"/>
    </xf>
    <xf numFmtId="168" fontId="5" fillId="0" borderId="69" xfId="0" applyNumberFormat="1" applyFont="1" applyBorder="1" applyAlignment="1" applyProtection="1">
      <alignment horizontal="center" vertical="center"/>
      <protection hidden="1"/>
    </xf>
    <xf numFmtId="0" fontId="28" fillId="0" borderId="0" xfId="0" applyFont="1" applyBorder="1" applyAlignment="1" applyProtection="1">
      <alignment horizontal="left" vertical="top"/>
      <protection hidden="1"/>
    </xf>
    <xf numFmtId="168" fontId="5" fillId="0" borderId="81" xfId="0" applyNumberFormat="1" applyFont="1" applyBorder="1" applyAlignment="1" applyProtection="1">
      <alignment horizontal="center" vertical="center"/>
      <protection hidden="1"/>
    </xf>
    <xf numFmtId="168" fontId="5" fillId="0" borderId="82" xfId="0" applyNumberFormat="1" applyFont="1" applyBorder="1" applyAlignment="1" applyProtection="1">
      <alignment horizontal="center" vertical="center"/>
      <protection hidden="1"/>
    </xf>
    <xf numFmtId="0" fontId="28" fillId="0" borderId="83" xfId="0" applyFont="1" applyBorder="1" applyAlignment="1" applyProtection="1">
      <alignment horizontal="left" vertical="top"/>
      <protection hidden="1"/>
    </xf>
    <xf numFmtId="0" fontId="2" fillId="5" borderId="64" xfId="0" applyFont="1" applyFill="1" applyBorder="1" applyAlignment="1">
      <alignment horizontal="center" vertical="center"/>
    </xf>
    <xf numFmtId="0" fontId="2" fillId="5" borderId="84" xfId="0" applyFont="1" applyFill="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6" fillId="2" borderId="0" xfId="0" applyFont="1" applyFill="1" applyBorder="1" applyAlignment="1">
      <alignment horizontal="right" indent="1"/>
    </xf>
    <xf numFmtId="0" fontId="13" fillId="2" borderId="0" xfId="0" applyFont="1" applyFill="1" applyBorder="1" applyAlignment="1">
      <alignment horizontal="right" indent="1"/>
    </xf>
    <xf numFmtId="0" fontId="6" fillId="2" borderId="0" xfId="0" applyFont="1" applyFill="1" applyAlignment="1">
      <alignment horizontal="center"/>
    </xf>
    <xf numFmtId="0" fontId="17" fillId="2" borderId="0" xfId="0" applyFont="1" applyFill="1"/>
    <xf numFmtId="0" fontId="5" fillId="0" borderId="87" xfId="0" applyFont="1" applyBorder="1" applyAlignment="1">
      <alignment vertical="center"/>
    </xf>
    <xf numFmtId="0" fontId="3" fillId="5" borderId="64" xfId="0" applyFont="1" applyFill="1" applyBorder="1"/>
    <xf numFmtId="0" fontId="10" fillId="5" borderId="84" xfId="0" applyFont="1" applyFill="1" applyBorder="1" applyAlignment="1">
      <alignment horizontal="center"/>
    </xf>
    <xf numFmtId="0" fontId="6" fillId="2" borderId="73" xfId="0" applyFont="1" applyFill="1" applyBorder="1" applyAlignment="1"/>
    <xf numFmtId="0" fontId="6" fillId="2" borderId="71" xfId="0" applyFont="1" applyFill="1" applyBorder="1" applyAlignment="1"/>
    <xf numFmtId="0" fontId="6" fillId="2" borderId="72" xfId="0" applyFont="1" applyFill="1" applyBorder="1" applyAlignment="1"/>
    <xf numFmtId="0" fontId="13" fillId="6" borderId="88" xfId="0" applyFont="1" applyFill="1" applyBorder="1" applyAlignment="1">
      <alignment horizontal="right" vertical="center"/>
    </xf>
    <xf numFmtId="0" fontId="13" fillId="6" borderId="89" xfId="0" applyFont="1" applyFill="1" applyBorder="1" applyAlignment="1">
      <alignment horizontal="left" vertical="center"/>
    </xf>
    <xf numFmtId="0" fontId="11" fillId="6" borderId="90" xfId="0" applyFont="1" applyFill="1" applyBorder="1" applyAlignment="1">
      <alignment horizontal="center" vertical="center"/>
    </xf>
    <xf numFmtId="0" fontId="5" fillId="0" borderId="67"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1" fontId="5" fillId="0" borderId="68" xfId="0" applyNumberFormat="1" applyFont="1" applyFill="1" applyBorder="1" applyAlignment="1" applyProtection="1">
      <alignment horizontal="center"/>
      <protection locked="0"/>
    </xf>
    <xf numFmtId="1" fontId="5" fillId="0" borderId="69" xfId="0" applyNumberFormat="1" applyFont="1" applyFill="1" applyBorder="1" applyAlignment="1" applyProtection="1">
      <alignment horizontal="center"/>
      <protection locked="0"/>
    </xf>
    <xf numFmtId="0" fontId="27" fillId="0" borderId="22" xfId="0" applyFont="1" applyBorder="1" applyAlignment="1">
      <alignment horizontal="center"/>
    </xf>
    <xf numFmtId="0" fontId="27" fillId="0" borderId="91" xfId="0" applyFont="1" applyBorder="1" applyAlignment="1">
      <alignment horizontal="center"/>
    </xf>
    <xf numFmtId="0" fontId="27" fillId="0" borderId="25" xfId="0" applyFont="1" applyBorder="1" applyAlignment="1">
      <alignment horizontal="center"/>
    </xf>
    <xf numFmtId="0" fontId="40" fillId="5" borderId="92" xfId="0" applyFont="1" applyFill="1" applyBorder="1" applyAlignment="1"/>
    <xf numFmtId="0" fontId="3" fillId="5" borderId="0" xfId="0" applyFont="1" applyFill="1"/>
    <xf numFmtId="0" fontId="6" fillId="4" borderId="4" xfId="0" applyFont="1" applyFill="1" applyBorder="1"/>
    <xf numFmtId="0" fontId="20" fillId="0" borderId="93" xfId="0" applyFont="1" applyBorder="1" applyAlignment="1">
      <alignment horizontal="left"/>
    </xf>
    <xf numFmtId="0" fontId="11" fillId="0" borderId="19" xfId="0" applyFont="1" applyBorder="1" applyAlignment="1"/>
    <xf numFmtId="0" fontId="11" fillId="0" borderId="18" xfId="0" applyFont="1" applyBorder="1" applyAlignment="1"/>
    <xf numFmtId="0" fontId="11" fillId="0" borderId="18" xfId="0" applyFont="1" applyBorder="1"/>
    <xf numFmtId="0" fontId="11" fillId="0" borderId="22" xfId="0" applyFont="1" applyBorder="1" applyAlignment="1"/>
    <xf numFmtId="0" fontId="1" fillId="0" borderId="13" xfId="0" applyFont="1" applyBorder="1" applyAlignment="1"/>
    <xf numFmtId="0" fontId="11" fillId="0" borderId="13" xfId="0" applyFont="1" applyBorder="1"/>
    <xf numFmtId="0" fontId="11" fillId="0" borderId="13" xfId="0" applyFont="1" applyBorder="1" applyAlignment="1"/>
    <xf numFmtId="0" fontId="11" fillId="0" borderId="25" xfId="0" applyFont="1" applyBorder="1" applyAlignment="1"/>
    <xf numFmtId="0" fontId="11" fillId="0" borderId="17" xfId="0" applyFont="1" applyBorder="1" applyAlignment="1"/>
    <xf numFmtId="0" fontId="11" fillId="0" borderId="17" xfId="0" applyFont="1" applyBorder="1"/>
    <xf numFmtId="0" fontId="3" fillId="5" borderId="20" xfId="0" applyFont="1" applyFill="1" applyBorder="1" applyAlignment="1"/>
    <xf numFmtId="0" fontId="6" fillId="0" borderId="22" xfId="0" applyFont="1" applyBorder="1" applyAlignment="1"/>
    <xf numFmtId="0" fontId="3" fillId="5" borderId="22" xfId="0" applyFont="1" applyFill="1" applyBorder="1" applyAlignment="1"/>
    <xf numFmtId="0" fontId="6" fillId="0" borderId="25" xfId="0" applyFont="1" applyBorder="1" applyAlignment="1"/>
    <xf numFmtId="0" fontId="6" fillId="0" borderId="49" xfId="0" applyFont="1" applyBorder="1"/>
    <xf numFmtId="0" fontId="6" fillId="0" borderId="12" xfId="0" applyFont="1" applyBorder="1"/>
    <xf numFmtId="0" fontId="6" fillId="0" borderId="16" xfId="0" applyFont="1" applyBorder="1"/>
    <xf numFmtId="0" fontId="6" fillId="0" borderId="24" xfId="0" applyFont="1" applyBorder="1"/>
    <xf numFmtId="0" fontId="6" fillId="0" borderId="27" xfId="0" applyFont="1" applyBorder="1"/>
    <xf numFmtId="0" fontId="6" fillId="5" borderId="21" xfId="0" applyFont="1" applyFill="1" applyBorder="1"/>
    <xf numFmtId="0" fontId="6" fillId="5" borderId="24" xfId="0" applyFont="1" applyFill="1" applyBorder="1"/>
    <xf numFmtId="0" fontId="6" fillId="0" borderId="48" xfId="0" applyFont="1" applyBorder="1"/>
    <xf numFmtId="0" fontId="6" fillId="0" borderId="11" xfId="0" applyFont="1" applyBorder="1"/>
    <xf numFmtId="0" fontId="6" fillId="0" borderId="15" xfId="0" applyFont="1" applyBorder="1"/>
    <xf numFmtId="0" fontId="20" fillId="0" borderId="94" xfId="0" applyFont="1" applyBorder="1" applyAlignment="1">
      <alignment horizontal="left"/>
    </xf>
    <xf numFmtId="0" fontId="6" fillId="4" borderId="4" xfId="0" applyFont="1" applyFill="1" applyBorder="1" applyAlignment="1">
      <alignment horizontal="center"/>
    </xf>
    <xf numFmtId="0" fontId="20" fillId="0" borderId="48" xfId="0" applyFont="1" applyBorder="1" applyAlignment="1">
      <alignment horizontal="left"/>
    </xf>
    <xf numFmtId="0" fontId="20" fillId="0" borderId="19" xfId="0" applyFont="1" applyBorder="1" applyAlignment="1">
      <alignment horizontal="left"/>
    </xf>
    <xf numFmtId="0" fontId="20" fillId="0" borderId="22" xfId="0" applyFont="1" applyBorder="1" applyAlignment="1">
      <alignment horizontal="left"/>
    </xf>
    <xf numFmtId="0" fontId="20" fillId="0" borderId="25" xfId="0" applyFont="1" applyBorder="1" applyAlignment="1">
      <alignment horizontal="left"/>
    </xf>
    <xf numFmtId="0" fontId="20" fillId="0" borderId="0" xfId="0" applyFont="1" applyFill="1"/>
    <xf numFmtId="0" fontId="6" fillId="2" borderId="0" xfId="0" applyFont="1" applyFill="1" applyBorder="1" applyProtection="1">
      <protection hidden="1"/>
    </xf>
    <xf numFmtId="0" fontId="6" fillId="2" borderId="0" xfId="0" applyFont="1" applyFill="1" applyBorder="1" applyAlignment="1" applyProtection="1">
      <protection hidden="1"/>
    </xf>
    <xf numFmtId="0" fontId="6" fillId="2" borderId="30" xfId="0" applyFont="1" applyFill="1" applyBorder="1" applyProtection="1">
      <protection hidden="1"/>
    </xf>
    <xf numFmtId="0" fontId="6" fillId="2" borderId="29" xfId="0" applyFont="1" applyFill="1" applyBorder="1" applyProtection="1">
      <protection hidden="1"/>
    </xf>
    <xf numFmtId="0" fontId="6" fillId="2" borderId="30" xfId="0" applyFont="1" applyFill="1" applyBorder="1" applyAlignment="1" applyProtection="1">
      <protection hidden="1"/>
    </xf>
    <xf numFmtId="0" fontId="6" fillId="2" borderId="0" xfId="0" applyFont="1" applyFill="1" applyProtection="1">
      <protection hidden="1"/>
    </xf>
    <xf numFmtId="0" fontId="6" fillId="2" borderId="95" xfId="0" applyFont="1" applyFill="1" applyBorder="1" applyProtection="1">
      <protection hidden="1"/>
    </xf>
    <xf numFmtId="0" fontId="2" fillId="5" borderId="31"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0" xfId="0" applyFont="1" applyFill="1" applyAlignment="1" applyProtection="1">
      <protection hidden="1"/>
    </xf>
    <xf numFmtId="0" fontId="6" fillId="2" borderId="61" xfId="0" applyFont="1" applyFill="1" applyBorder="1" applyProtection="1">
      <protection hidden="1"/>
    </xf>
    <xf numFmtId="0" fontId="6" fillId="2" borderId="0" xfId="0" applyFont="1" applyFill="1" applyBorder="1" applyAlignment="1" applyProtection="1">
      <alignment vertical="center"/>
      <protection hidden="1"/>
    </xf>
    <xf numFmtId="0" fontId="12" fillId="0" borderId="75" xfId="0" applyNumberFormat="1"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0" fontId="0" fillId="2" borderId="0" xfId="0" applyFill="1" applyBorder="1" applyAlignment="1" applyProtection="1">
      <protection hidden="1"/>
    </xf>
    <xf numFmtId="0" fontId="6" fillId="2" borderId="0" xfId="0" applyFont="1" applyFill="1" applyBorder="1" applyAlignment="1">
      <alignment horizontal="center"/>
    </xf>
    <xf numFmtId="0" fontId="10" fillId="5" borderId="96" xfId="0" applyFont="1" applyFill="1" applyBorder="1" applyAlignment="1">
      <alignment horizontal="center"/>
    </xf>
    <xf numFmtId="0" fontId="10" fillId="5" borderId="97" xfId="0" applyFont="1" applyFill="1" applyBorder="1" applyAlignment="1">
      <alignment horizontal="center"/>
    </xf>
    <xf numFmtId="0" fontId="10" fillId="5" borderId="98" xfId="0" applyFont="1" applyFill="1" applyBorder="1" applyAlignment="1">
      <alignment horizontal="center"/>
    </xf>
    <xf numFmtId="0" fontId="10" fillId="5" borderId="99" xfId="0" applyFont="1" applyFill="1" applyBorder="1" applyAlignment="1">
      <alignment horizontal="center"/>
    </xf>
    <xf numFmtId="0" fontId="3" fillId="5" borderId="100" xfId="0" applyFont="1" applyFill="1" applyBorder="1" applyAlignment="1">
      <alignment horizontal="center"/>
    </xf>
    <xf numFmtId="0" fontId="6" fillId="0" borderId="101" xfId="0" applyFont="1" applyBorder="1" applyProtection="1">
      <protection locked="0"/>
    </xf>
    <xf numFmtId="0" fontId="6" fillId="0" borderId="102" xfId="0" applyFont="1" applyBorder="1" applyProtection="1">
      <protection locked="0"/>
    </xf>
    <xf numFmtId="0" fontId="5" fillId="7" borderId="64" xfId="0" applyFont="1" applyFill="1" applyBorder="1" applyAlignment="1" applyProtection="1">
      <alignment vertical="center"/>
      <protection locked="0"/>
    </xf>
    <xf numFmtId="0" fontId="5" fillId="7" borderId="85" xfId="0" applyFont="1" applyFill="1" applyBorder="1" applyAlignment="1" applyProtection="1">
      <alignment vertical="center"/>
      <protection locked="0"/>
    </xf>
    <xf numFmtId="0" fontId="6" fillId="7" borderId="103" xfId="0" applyFont="1" applyFill="1" applyBorder="1" applyAlignment="1" applyProtection="1">
      <alignment horizontal="center" vertical="center" wrapText="1"/>
      <protection locked="0"/>
    </xf>
    <xf numFmtId="0" fontId="6" fillId="7" borderId="84" xfId="0" applyFont="1" applyFill="1" applyBorder="1" applyAlignment="1" applyProtection="1">
      <alignment horizontal="center"/>
      <protection locked="0"/>
    </xf>
    <xf numFmtId="0" fontId="6" fillId="7" borderId="104" xfId="0" applyFont="1" applyFill="1" applyBorder="1" applyAlignment="1" applyProtection="1">
      <alignment horizontal="center"/>
      <protection locked="0"/>
    </xf>
    <xf numFmtId="0" fontId="6" fillId="7" borderId="86" xfId="0" applyFont="1" applyFill="1" applyBorder="1" applyAlignment="1" applyProtection="1">
      <alignment horizontal="center"/>
      <protection locked="0"/>
    </xf>
    <xf numFmtId="0" fontId="20" fillId="7" borderId="11" xfId="0" applyFont="1" applyFill="1" applyBorder="1"/>
    <xf numFmtId="49" fontId="20" fillId="7" borderId="10" xfId="0" applyNumberFormat="1" applyFont="1" applyFill="1" applyBorder="1"/>
    <xf numFmtId="0" fontId="20" fillId="7" borderId="10" xfId="0" applyFont="1" applyFill="1" applyBorder="1"/>
    <xf numFmtId="167" fontId="20" fillId="7" borderId="10" xfId="0" applyNumberFormat="1" applyFont="1" applyFill="1" applyBorder="1" applyAlignment="1">
      <alignment horizontal="center"/>
    </xf>
    <xf numFmtId="0" fontId="20" fillId="7" borderId="57" xfId="0" applyFont="1" applyFill="1" applyBorder="1"/>
    <xf numFmtId="0" fontId="20" fillId="7" borderId="10" xfId="0" applyFont="1" applyFill="1" applyBorder="1" applyAlignment="1">
      <alignment horizontal="center"/>
    </xf>
    <xf numFmtId="0" fontId="20" fillId="7" borderId="12" xfId="0" applyFont="1" applyFill="1" applyBorder="1" applyAlignment="1">
      <alignment horizontal="center"/>
    </xf>
    <xf numFmtId="0" fontId="20" fillId="7" borderId="46" xfId="0" applyFont="1" applyFill="1" applyBorder="1" applyAlignment="1">
      <alignment horizontal="center"/>
    </xf>
    <xf numFmtId="0" fontId="20" fillId="7" borderId="57" xfId="0" applyFont="1" applyFill="1" applyBorder="1" applyAlignment="1">
      <alignment horizontal="center"/>
    </xf>
    <xf numFmtId="0" fontId="20" fillId="7" borderId="13" xfId="0" applyFont="1" applyFill="1" applyBorder="1" applyAlignment="1">
      <alignment horizontal="center"/>
    </xf>
    <xf numFmtId="167" fontId="20" fillId="7" borderId="13" xfId="0" applyNumberFormat="1" applyFont="1" applyFill="1" applyBorder="1" applyAlignment="1">
      <alignment horizontal="center"/>
    </xf>
    <xf numFmtId="0" fontId="10" fillId="5" borderId="76" xfId="0" applyFont="1" applyFill="1" applyBorder="1" applyAlignment="1">
      <alignment horizontal="center"/>
    </xf>
    <xf numFmtId="0" fontId="7" fillId="7" borderId="89" xfId="0" applyFont="1" applyFill="1" applyBorder="1" applyAlignment="1">
      <alignment horizontal="center" vertical="center"/>
    </xf>
    <xf numFmtId="0" fontId="2" fillId="5" borderId="105" xfId="0" applyFont="1" applyFill="1" applyBorder="1" applyAlignment="1">
      <alignment horizontal="center" vertical="center" wrapText="1"/>
    </xf>
    <xf numFmtId="0" fontId="2" fillId="5" borderId="106" xfId="0" applyFont="1" applyFill="1" applyBorder="1" applyAlignment="1">
      <alignment horizontal="center" vertical="center" wrapText="1"/>
    </xf>
    <xf numFmtId="0" fontId="8" fillId="2" borderId="0" xfId="0" applyFont="1" applyFill="1" applyAlignment="1"/>
    <xf numFmtId="0" fontId="6" fillId="2" borderId="0" xfId="0" applyFont="1" applyFill="1" applyAlignment="1">
      <alignment wrapText="1"/>
    </xf>
    <xf numFmtId="0" fontId="6" fillId="2" borderId="0" xfId="0" applyFont="1" applyFill="1" applyAlignment="1">
      <alignment horizontal="center" vertical="top"/>
    </xf>
    <xf numFmtId="0" fontId="6" fillId="2" borderId="0" xfId="0" applyFont="1" applyFill="1" applyAlignment="1">
      <alignment vertical="top"/>
    </xf>
    <xf numFmtId="0" fontId="13" fillId="2" borderId="0" xfId="0" applyFont="1" applyFill="1" applyAlignment="1">
      <alignment horizontal="center" vertical="top"/>
    </xf>
    <xf numFmtId="0" fontId="6" fillId="2" borderId="0" xfId="0" quotePrefix="1" applyFont="1" applyFill="1" applyAlignment="1">
      <alignment horizontal="center"/>
    </xf>
    <xf numFmtId="0" fontId="14" fillId="5" borderId="0" xfId="0" quotePrefix="1" applyFont="1" applyFill="1" applyAlignment="1">
      <alignment horizontal="center"/>
    </xf>
    <xf numFmtId="0" fontId="0" fillId="0" borderId="66" xfId="0" applyFill="1" applyBorder="1"/>
    <xf numFmtId="0" fontId="0" fillId="0" borderId="107" xfId="0" applyFill="1" applyBorder="1"/>
    <xf numFmtId="0" fontId="6" fillId="0" borderId="107" xfId="0" applyFont="1" applyFill="1" applyBorder="1"/>
    <xf numFmtId="0" fontId="0" fillId="0" borderId="76" xfId="0" applyFill="1" applyBorder="1"/>
    <xf numFmtId="0" fontId="13" fillId="0" borderId="108" xfId="0" applyFont="1" applyFill="1" applyBorder="1" applyAlignment="1">
      <alignment horizontal="right" vertical="center"/>
    </xf>
    <xf numFmtId="0" fontId="0" fillId="0" borderId="0" xfId="0" applyFill="1" applyBorder="1" applyAlignment="1"/>
    <xf numFmtId="0" fontId="0" fillId="0" borderId="0" xfId="0" applyFill="1" applyBorder="1"/>
    <xf numFmtId="0" fontId="6" fillId="0" borderId="0" xfId="0" applyFont="1" applyFill="1" applyBorder="1"/>
    <xf numFmtId="0" fontId="0" fillId="0" borderId="109" xfId="0" applyFill="1" applyBorder="1"/>
    <xf numFmtId="0" fontId="7" fillId="0" borderId="0" xfId="0" applyFont="1" applyFill="1" applyBorder="1" applyAlignment="1">
      <alignment horizontal="center" vertical="center"/>
    </xf>
    <xf numFmtId="0" fontId="0" fillId="0" borderId="88" xfId="0" applyFill="1" applyBorder="1"/>
    <xf numFmtId="0" fontId="0" fillId="0" borderId="90" xfId="0" applyFill="1" applyBorder="1"/>
    <xf numFmtId="0" fontId="6" fillId="0" borderId="90" xfId="0" applyFont="1" applyFill="1" applyBorder="1"/>
    <xf numFmtId="0" fontId="0" fillId="0" borderId="89" xfId="0" applyFill="1" applyBorder="1"/>
    <xf numFmtId="0" fontId="48" fillId="0" borderId="109" xfId="0" applyFont="1" applyFill="1" applyBorder="1"/>
    <xf numFmtId="0" fontId="20" fillId="0" borderId="10" xfId="0" applyFont="1" applyFill="1" applyBorder="1" applyAlignment="1">
      <alignment horizontal="center"/>
    </xf>
    <xf numFmtId="0" fontId="20" fillId="8" borderId="10" xfId="0" applyFont="1" applyFill="1" applyBorder="1" applyAlignment="1">
      <alignment horizontal="center"/>
    </xf>
    <xf numFmtId="0" fontId="20" fillId="9" borderId="10" xfId="0" applyFont="1" applyFill="1" applyBorder="1" applyAlignment="1">
      <alignment horizontal="center"/>
    </xf>
    <xf numFmtId="0" fontId="20" fillId="10" borderId="10" xfId="0" applyFont="1" applyFill="1" applyBorder="1" applyAlignment="1">
      <alignment horizontal="center"/>
    </xf>
    <xf numFmtId="0" fontId="5" fillId="0" borderId="110" xfId="0" applyFont="1" applyBorder="1" applyAlignment="1">
      <alignment horizontal="center"/>
    </xf>
    <xf numFmtId="0" fontId="5" fillId="0" borderId="111" xfId="0" applyFont="1" applyBorder="1" applyAlignment="1">
      <alignment horizontal="center"/>
    </xf>
    <xf numFmtId="0" fontId="0" fillId="0" borderId="81" xfId="0" applyBorder="1" applyAlignment="1">
      <alignment horizontal="center"/>
    </xf>
    <xf numFmtId="0" fontId="0" fillId="0" borderId="68" xfId="0" applyBorder="1" applyAlignment="1">
      <alignment horizontal="center"/>
    </xf>
    <xf numFmtId="0" fontId="0" fillId="0" borderId="112" xfId="0" applyBorder="1" applyAlignment="1">
      <alignment horizontal="center"/>
    </xf>
    <xf numFmtId="0" fontId="6" fillId="2" borderId="83" xfId="0" applyFont="1" applyFill="1" applyBorder="1" applyProtection="1">
      <protection hidden="1"/>
    </xf>
    <xf numFmtId="0" fontId="0" fillId="0" borderId="82" xfId="0" applyBorder="1" applyAlignment="1">
      <alignment horizontal="center"/>
    </xf>
    <xf numFmtId="0" fontId="5" fillId="0" borderId="113" xfId="0" applyFont="1" applyBorder="1" applyAlignment="1">
      <alignment horizontal="center"/>
    </xf>
    <xf numFmtId="0" fontId="6" fillId="0" borderId="114" xfId="0" applyFont="1" applyBorder="1" applyAlignment="1" applyProtection="1">
      <alignment horizontal="center"/>
      <protection hidden="1"/>
    </xf>
    <xf numFmtId="0" fontId="6" fillId="0" borderId="115" xfId="0" applyFont="1" applyBorder="1" applyAlignment="1" applyProtection="1">
      <alignment horizontal="center" vertical="center"/>
      <protection hidden="1"/>
    </xf>
    <xf numFmtId="0" fontId="6" fillId="0" borderId="116" xfId="0" applyFont="1" applyBorder="1" applyAlignment="1" applyProtection="1">
      <alignment horizontal="center" vertical="center"/>
      <protection hidden="1"/>
    </xf>
    <xf numFmtId="0" fontId="6" fillId="0" borderId="117" xfId="0" applyFont="1" applyBorder="1" applyAlignment="1">
      <alignment horizontal="center" vertical="center"/>
    </xf>
    <xf numFmtId="0" fontId="0" fillId="0" borderId="118" xfId="0" applyBorder="1" applyAlignment="1">
      <alignment horizontal="center"/>
    </xf>
    <xf numFmtId="0" fontId="0" fillId="0" borderId="119" xfId="0" applyBorder="1" applyAlignment="1">
      <alignment horizontal="center"/>
    </xf>
    <xf numFmtId="0" fontId="0" fillId="0" borderId="0" xfId="0" applyAlignment="1">
      <alignment horizontal="center"/>
    </xf>
    <xf numFmtId="0" fontId="0" fillId="0" borderId="0" xfId="0" applyAlignment="1">
      <alignment wrapText="1"/>
    </xf>
    <xf numFmtId="0" fontId="39" fillId="3" borderId="4" xfId="0" applyFont="1" applyFill="1" applyBorder="1"/>
    <xf numFmtId="0" fontId="39" fillId="3" borderId="33" xfId="0" applyFont="1" applyFill="1"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39" fillId="3" borderId="52" xfId="0" applyFont="1" applyFill="1" applyBorder="1"/>
    <xf numFmtId="0" fontId="0" fillId="0" borderId="21" xfId="0" applyBorder="1" applyAlignment="1">
      <alignment wrapText="1"/>
    </xf>
    <xf numFmtId="0" fontId="0" fillId="0" borderId="24" xfId="0" applyBorder="1" applyAlignment="1">
      <alignment wrapText="1"/>
    </xf>
    <xf numFmtId="0" fontId="0" fillId="0" borderId="27" xfId="0" applyBorder="1" applyAlignment="1">
      <alignment wrapText="1"/>
    </xf>
    <xf numFmtId="0" fontId="0" fillId="0" borderId="18" xfId="0" applyBorder="1" applyAlignment="1">
      <alignment wrapText="1"/>
    </xf>
    <xf numFmtId="0" fontId="0" fillId="0" borderId="13" xfId="0" applyBorder="1" applyAlignment="1">
      <alignment wrapText="1"/>
    </xf>
    <xf numFmtId="0" fontId="0" fillId="0" borderId="17" xfId="0" applyBorder="1" applyAlignment="1">
      <alignment wrapText="1"/>
    </xf>
    <xf numFmtId="0" fontId="6" fillId="2" borderId="0" xfId="0" applyFont="1" applyFill="1" applyAlignment="1">
      <alignment horizontal="justify" vertical="top" wrapText="1"/>
    </xf>
    <xf numFmtId="0" fontId="14" fillId="5" borderId="0" xfId="0" applyFont="1" applyFill="1" applyAlignment="1"/>
    <xf numFmtId="0" fontId="34" fillId="5" borderId="0" xfId="0" applyFont="1" applyFill="1" applyAlignment="1"/>
    <xf numFmtId="0" fontId="45" fillId="5" borderId="0" xfId="0" applyFont="1" applyFill="1" applyAlignment="1">
      <alignment horizontal="center" vertical="center" wrapText="1"/>
    </xf>
    <xf numFmtId="0" fontId="34" fillId="5" borderId="0" xfId="0" applyFont="1" applyFill="1" applyAlignment="1">
      <alignment vertical="center" wrapText="1"/>
    </xf>
    <xf numFmtId="0" fontId="27" fillId="2" borderId="0" xfId="0" applyFont="1" applyFill="1" applyAlignment="1">
      <alignment wrapText="1"/>
    </xf>
    <xf numFmtId="0" fontId="6" fillId="2" borderId="0" xfId="0" applyFont="1" applyFill="1" applyAlignment="1">
      <alignment wrapText="1"/>
    </xf>
    <xf numFmtId="0" fontId="43" fillId="5" borderId="0" xfId="0" applyFont="1" applyFill="1" applyAlignment="1">
      <alignment horizontal="center" wrapText="1"/>
    </xf>
    <xf numFmtId="0" fontId="44" fillId="5" borderId="0" xfId="0" applyFont="1" applyFill="1" applyAlignment="1">
      <alignment horizontal="center" vertical="center" wrapText="1"/>
    </xf>
    <xf numFmtId="0" fontId="44" fillId="5" borderId="0" xfId="0" applyFont="1" applyFill="1" applyAlignment="1">
      <alignment vertical="center" wrapText="1"/>
    </xf>
    <xf numFmtId="0" fontId="6" fillId="2" borderId="0" xfId="0" applyFont="1" applyFill="1" applyAlignment="1"/>
    <xf numFmtId="0" fontId="6" fillId="2" borderId="0" xfId="0" applyFont="1" applyFill="1" applyAlignment="1">
      <alignment horizontal="center"/>
    </xf>
    <xf numFmtId="0" fontId="0" fillId="0" borderId="0" xfId="0" applyAlignment="1"/>
    <xf numFmtId="0" fontId="5" fillId="0" borderId="121" xfId="0" applyFont="1" applyFill="1" applyBorder="1" applyAlignment="1" applyProtection="1">
      <alignment horizontal="left" vertical="center" indent="1"/>
      <protection locked="0"/>
    </xf>
    <xf numFmtId="0" fontId="5" fillId="0" borderId="122" xfId="0" applyFont="1" applyFill="1" applyBorder="1" applyAlignment="1" applyProtection="1">
      <alignment horizontal="left" vertical="center" indent="1"/>
      <protection locked="0"/>
    </xf>
    <xf numFmtId="0" fontId="5" fillId="0" borderId="120" xfId="0" applyFont="1" applyFill="1" applyBorder="1" applyAlignment="1" applyProtection="1">
      <alignment horizontal="left" vertical="center" indent="1"/>
      <protection locked="0"/>
    </xf>
    <xf numFmtId="0" fontId="5" fillId="0" borderId="123" xfId="0" applyFont="1" applyFill="1" applyBorder="1" applyAlignment="1" applyProtection="1">
      <alignment horizontal="left" vertical="center" indent="1"/>
      <protection locked="0"/>
    </xf>
    <xf numFmtId="0" fontId="8" fillId="0" borderId="79" xfId="0" applyFont="1" applyFill="1" applyBorder="1" applyAlignment="1" applyProtection="1">
      <alignment horizontal="center" vertical="center"/>
      <protection locked="0"/>
    </xf>
    <xf numFmtId="0" fontId="6" fillId="0" borderId="7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111" xfId="0" applyFont="1" applyFill="1" applyBorder="1" applyAlignment="1" applyProtection="1">
      <alignment horizontal="left" vertical="center" indent="1"/>
      <protection locked="0"/>
    </xf>
    <xf numFmtId="0" fontId="5" fillId="0" borderId="119" xfId="0" applyFont="1" applyFill="1" applyBorder="1" applyAlignment="1" applyProtection="1">
      <alignment horizontal="left" vertical="center" indent="1"/>
      <protection locked="0"/>
    </xf>
    <xf numFmtId="166" fontId="30" fillId="5" borderId="0" xfId="0" applyNumberFormat="1" applyFont="1" applyFill="1" applyAlignment="1">
      <alignment horizontal="left" vertical="center"/>
    </xf>
    <xf numFmtId="0" fontId="3" fillId="5" borderId="79" xfId="0" applyFont="1" applyFill="1" applyBorder="1" applyAlignment="1">
      <alignment horizontal="center" vertical="center"/>
    </xf>
    <xf numFmtId="0" fontId="3" fillId="5" borderId="0" xfId="0" applyFont="1" applyFill="1" applyBorder="1" applyAlignment="1">
      <alignment horizontal="center" vertical="center"/>
    </xf>
    <xf numFmtId="165" fontId="30" fillId="5" borderId="0" xfId="0" applyNumberFormat="1" applyFont="1" applyFill="1" applyAlignment="1">
      <alignment horizontal="right" vertical="center"/>
    </xf>
    <xf numFmtId="0" fontId="31" fillId="0" borderId="0" xfId="0" applyFont="1" applyAlignment="1">
      <alignment horizontal="right" vertical="center"/>
    </xf>
    <xf numFmtId="0" fontId="5" fillId="0" borderId="111" xfId="0" applyFont="1" applyFill="1" applyBorder="1" applyAlignment="1" applyProtection="1">
      <alignment horizontal="left" indent="1"/>
      <protection locked="0"/>
    </xf>
    <xf numFmtId="0" fontId="5" fillId="0" borderId="119" xfId="0" applyFont="1" applyFill="1" applyBorder="1" applyAlignment="1" applyProtection="1">
      <alignment horizontal="left" indent="1"/>
      <protection locked="0"/>
    </xf>
    <xf numFmtId="164" fontId="5" fillId="0" borderId="69" xfId="0" applyNumberFormat="1" applyFont="1" applyFill="1" applyBorder="1" applyAlignment="1" applyProtection="1">
      <alignment horizontal="center" vertical="center"/>
      <protection locked="0"/>
    </xf>
    <xf numFmtId="164" fontId="5" fillId="0" borderId="121" xfId="0" applyNumberFormat="1" applyFont="1" applyFill="1" applyBorder="1" applyAlignment="1" applyProtection="1">
      <alignment horizontal="center" vertical="center"/>
      <protection locked="0"/>
    </xf>
    <xf numFmtId="164" fontId="5" fillId="0" borderId="68" xfId="0" applyNumberFormat="1" applyFont="1" applyFill="1" applyBorder="1" applyAlignment="1" applyProtection="1">
      <alignment horizontal="center" vertical="center"/>
      <protection locked="0"/>
    </xf>
    <xf numFmtId="164" fontId="5" fillId="0" borderId="111" xfId="0" applyNumberFormat="1" applyFont="1" applyFill="1" applyBorder="1" applyAlignment="1" applyProtection="1">
      <alignment horizontal="center" vertical="center"/>
      <protection locked="0"/>
    </xf>
    <xf numFmtId="164" fontId="5" fillId="0" borderId="67" xfId="0" applyNumberFormat="1" applyFont="1" applyFill="1" applyBorder="1" applyAlignment="1" applyProtection="1">
      <alignment horizontal="center" vertical="center"/>
      <protection locked="0"/>
    </xf>
    <xf numFmtId="164" fontId="5" fillId="0" borderId="120" xfId="0" applyNumberFormat="1" applyFont="1" applyFill="1" applyBorder="1" applyAlignment="1" applyProtection="1">
      <alignment horizontal="center" vertical="center"/>
      <protection locked="0"/>
    </xf>
    <xf numFmtId="0" fontId="4" fillId="5" borderId="30" xfId="0" applyFont="1" applyFill="1" applyBorder="1" applyAlignment="1"/>
    <xf numFmtId="0" fontId="6" fillId="0" borderId="30" xfId="0" applyFont="1" applyBorder="1" applyAlignment="1"/>
    <xf numFmtId="0" fontId="41" fillId="2"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29" xfId="0" applyFont="1" applyBorder="1" applyAlignment="1">
      <alignment horizontal="center" vertical="center" wrapText="1"/>
    </xf>
    <xf numFmtId="0" fontId="5" fillId="0" borderId="120" xfId="0" applyFont="1" applyFill="1" applyBorder="1" applyAlignment="1" applyProtection="1">
      <alignment horizontal="left" indent="1"/>
      <protection locked="0"/>
    </xf>
    <xf numFmtId="0" fontId="5" fillId="0" borderId="123" xfId="0" applyFont="1" applyFill="1" applyBorder="1" applyAlignment="1" applyProtection="1">
      <alignment horizontal="left" indent="1"/>
      <protection locked="0"/>
    </xf>
    <xf numFmtId="0" fontId="2" fillId="5" borderId="32" xfId="0" applyFont="1" applyFill="1" applyBorder="1" applyAlignment="1">
      <alignment horizontal="center"/>
    </xf>
    <xf numFmtId="0" fontId="4" fillId="5" borderId="31" xfId="0" applyFont="1" applyFill="1" applyBorder="1" applyAlignment="1">
      <alignment horizontal="center" vertical="center"/>
    </xf>
    <xf numFmtId="0" fontId="0" fillId="0" borderId="32" xfId="0" applyBorder="1" applyAlignment="1">
      <alignment vertical="center"/>
    </xf>
    <xf numFmtId="0" fontId="0" fillId="0" borderId="32" xfId="0" applyBorder="1" applyAlignment="1"/>
    <xf numFmtId="0" fontId="0" fillId="0" borderId="100" xfId="0" applyBorder="1" applyAlignment="1"/>
    <xf numFmtId="0" fontId="2" fillId="5" borderId="100" xfId="0" applyFont="1" applyFill="1" applyBorder="1" applyAlignment="1">
      <alignment horizontal="center"/>
    </xf>
    <xf numFmtId="0" fontId="8"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4" fillId="5" borderId="30" xfId="0" applyFont="1" applyFill="1" applyBorder="1" applyAlignment="1">
      <alignment horizontal="center" vertical="center"/>
    </xf>
    <xf numFmtId="0" fontId="4" fillId="5" borderId="30" xfId="0" applyFont="1" applyFill="1" applyBorder="1" applyAlignment="1">
      <alignment vertical="center"/>
    </xf>
    <xf numFmtId="0" fontId="7" fillId="0" borderId="31" xfId="0" applyFont="1" applyFill="1" applyBorder="1" applyAlignment="1" applyProtection="1">
      <alignment horizontal="left" indent="1"/>
      <protection locked="0"/>
    </xf>
    <xf numFmtId="0" fontId="7" fillId="0" borderId="32" xfId="0" applyFont="1" applyFill="1" applyBorder="1" applyAlignment="1" applyProtection="1">
      <alignment horizontal="left" indent="1"/>
      <protection locked="0"/>
    </xf>
    <xf numFmtId="0" fontId="7" fillId="0" borderId="100" xfId="0" applyFont="1" applyFill="1" applyBorder="1" applyAlignment="1" applyProtection="1">
      <alignment horizontal="left" indent="1"/>
      <protection locked="0"/>
    </xf>
    <xf numFmtId="0" fontId="3" fillId="5" borderId="32" xfId="0" applyFont="1" applyFill="1" applyBorder="1" applyAlignment="1"/>
    <xf numFmtId="0" fontId="6" fillId="0" borderId="32" xfId="0" applyFont="1" applyBorder="1" applyAlignment="1"/>
    <xf numFmtId="0" fontId="7" fillId="0" borderId="30" xfId="0" applyFont="1" applyFill="1" applyBorder="1" applyAlignment="1" applyProtection="1">
      <alignment horizontal="left" vertical="center" indent="1"/>
      <protection locked="0"/>
    </xf>
    <xf numFmtId="0" fontId="4" fillId="5" borderId="30" xfId="0" applyFont="1" applyFill="1" applyBorder="1" applyAlignment="1">
      <alignment horizontal="center"/>
    </xf>
    <xf numFmtId="0" fontId="6" fillId="2" borderId="0" xfId="0" applyFont="1" applyFill="1" applyBorder="1" applyAlignment="1"/>
    <xf numFmtId="164" fontId="28" fillId="6" borderId="0" xfId="0" applyNumberFormat="1" applyFont="1" applyFill="1" applyBorder="1" applyAlignment="1">
      <alignment horizontal="right" vertical="top"/>
    </xf>
    <xf numFmtId="0" fontId="29" fillId="6" borderId="0" xfId="0" applyFont="1" applyFill="1" applyBorder="1" applyAlignment="1">
      <alignment horizontal="right" vertical="top"/>
    </xf>
    <xf numFmtId="165" fontId="31" fillId="0" borderId="0" xfId="0" applyNumberFormat="1" applyFont="1" applyAlignment="1">
      <alignment horizontal="right" vertical="center"/>
    </xf>
    <xf numFmtId="0" fontId="3" fillId="5" borderId="79" xfId="0" applyFont="1" applyFill="1" applyBorder="1" applyAlignment="1">
      <alignment horizontal="center" vertical="center" wrapText="1"/>
    </xf>
    <xf numFmtId="0" fontId="0" fillId="0" borderId="79" xfId="0" applyBorder="1" applyAlignment="1"/>
    <xf numFmtId="0" fontId="0" fillId="0" borderId="0" xfId="0" applyBorder="1" applyAlignment="1"/>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6" fillId="0" borderId="100" xfId="0" applyFont="1" applyFill="1" applyBorder="1" applyAlignment="1" applyProtection="1">
      <alignment horizontal="center" vertical="center"/>
      <protection locked="0"/>
    </xf>
    <xf numFmtId="0" fontId="3" fillId="5" borderId="0" xfId="0" applyFont="1" applyFill="1" applyAlignment="1">
      <alignment horizontal="center" vertical="center"/>
    </xf>
    <xf numFmtId="1" fontId="5" fillId="0" borderId="68" xfId="0" applyNumberFormat="1" applyFont="1" applyFill="1" applyBorder="1" applyAlignment="1" applyProtection="1">
      <alignment horizontal="center" vertical="center"/>
      <protection locked="0"/>
    </xf>
    <xf numFmtId="1" fontId="5" fillId="0" borderId="111" xfId="0" applyNumberFormat="1" applyFont="1" applyFill="1" applyBorder="1" applyAlignment="1" applyProtection="1">
      <alignment horizontal="center" vertical="center"/>
      <protection locked="0"/>
    </xf>
    <xf numFmtId="0" fontId="5" fillId="2" borderId="0" xfId="0" applyFont="1" applyFill="1" applyAlignment="1"/>
    <xf numFmtId="0" fontId="5" fillId="2" borderId="0" xfId="0" applyFont="1" applyFill="1" applyBorder="1" applyAlignment="1"/>
    <xf numFmtId="0" fontId="17" fillId="6" borderId="71" xfId="0" applyFont="1" applyFill="1" applyBorder="1" applyAlignment="1">
      <alignment horizontal="right" vertical="center" indent="1"/>
    </xf>
    <xf numFmtId="0" fontId="6" fillId="2" borderId="61" xfId="0" applyFont="1" applyFill="1" applyBorder="1" applyAlignment="1"/>
    <xf numFmtId="1" fontId="5" fillId="0" borderId="69" xfId="0" applyNumberFormat="1" applyFont="1" applyFill="1" applyBorder="1" applyAlignment="1" applyProtection="1">
      <alignment horizontal="center" vertical="center"/>
      <protection locked="0"/>
    </xf>
    <xf numFmtId="1" fontId="5" fillId="0" borderId="121" xfId="0" applyNumberFormat="1" applyFont="1" applyFill="1" applyBorder="1" applyAlignment="1" applyProtection="1">
      <alignment horizontal="center" vertical="center"/>
      <protection locked="0"/>
    </xf>
    <xf numFmtId="0" fontId="11" fillId="6" borderId="132" xfId="0" applyFont="1" applyFill="1" applyBorder="1" applyAlignment="1">
      <alignment horizontal="left" vertical="center"/>
    </xf>
    <xf numFmtId="0" fontId="0" fillId="6" borderId="133" xfId="0" applyFill="1" applyBorder="1" applyAlignment="1"/>
    <xf numFmtId="0" fontId="0" fillId="6" borderId="134" xfId="0" applyFill="1" applyBorder="1" applyAlignment="1"/>
    <xf numFmtId="0" fontId="5" fillId="0" borderId="121" xfId="0" applyFont="1" applyFill="1" applyBorder="1" applyAlignment="1" applyProtection="1">
      <alignment horizontal="left" indent="1"/>
      <protection locked="0"/>
    </xf>
    <xf numFmtId="0" fontId="5" fillId="0" borderId="122" xfId="0" applyFont="1" applyFill="1" applyBorder="1" applyAlignment="1" applyProtection="1">
      <alignment horizontal="left" indent="1"/>
      <protection locked="0"/>
    </xf>
    <xf numFmtId="0" fontId="4" fillId="5" borderId="61" xfId="0" applyFont="1" applyFill="1" applyBorder="1" applyAlignment="1">
      <alignment horizontal="center" vertical="center"/>
    </xf>
    <xf numFmtId="0" fontId="35" fillId="6" borderId="0" xfId="0" applyFont="1" applyFill="1" applyBorder="1" applyAlignment="1">
      <alignment horizontal="center" vertical="center"/>
    </xf>
    <xf numFmtId="0" fontId="19" fillId="6" borderId="59" xfId="0" applyFont="1" applyFill="1" applyBorder="1" applyAlignment="1">
      <alignment horizontal="center" vertical="center"/>
    </xf>
    <xf numFmtId="0" fontId="19" fillId="6" borderId="131" xfId="0" applyFont="1" applyFill="1" applyBorder="1" applyAlignment="1">
      <alignment horizontal="center" vertical="center"/>
    </xf>
    <xf numFmtId="0" fontId="8" fillId="0" borderId="29"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8" fillId="0" borderId="83"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35" fillId="6" borderId="0" xfId="0" applyFont="1" applyFill="1" applyBorder="1" applyAlignment="1">
      <alignment vertical="center"/>
    </xf>
    <xf numFmtId="0" fontId="13" fillId="0" borderId="108" xfId="0" applyFont="1" applyFill="1" applyBorder="1" applyAlignment="1">
      <alignment horizontal="right" vertical="center"/>
    </xf>
    <xf numFmtId="0" fontId="0" fillId="0" borderId="0" xfId="0" applyFill="1" applyBorder="1" applyAlignment="1"/>
    <xf numFmtId="0" fontId="7" fillId="6" borderId="132" xfId="0" applyFont="1" applyFill="1" applyBorder="1" applyAlignment="1">
      <alignment horizontal="center" vertical="center"/>
    </xf>
    <xf numFmtId="0" fontId="11" fillId="0" borderId="108" xfId="0" applyFont="1" applyFill="1" applyBorder="1" applyAlignment="1">
      <alignment horizontal="right"/>
    </xf>
    <xf numFmtId="0" fontId="11" fillId="6" borderId="132" xfId="0" applyFont="1" applyFill="1" applyBorder="1" applyAlignment="1">
      <alignment horizontal="center"/>
    </xf>
    <xf numFmtId="0" fontId="13" fillId="0" borderId="0" xfId="0" applyFont="1" applyFill="1" applyBorder="1" applyAlignment="1">
      <alignment horizontal="right" vertical="center"/>
    </xf>
    <xf numFmtId="0" fontId="11" fillId="0" borderId="0" xfId="0" applyFont="1" applyFill="1" applyBorder="1" applyAlignment="1">
      <alignment horizontal="right"/>
    </xf>
    <xf numFmtId="0" fontId="9" fillId="6"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9" fillId="6" borderId="29" xfId="0" applyFont="1" applyFill="1" applyBorder="1" applyAlignment="1">
      <alignment horizontal="center" vertical="center"/>
    </xf>
    <xf numFmtId="0" fontId="9" fillId="6" borderId="0" xfId="0" applyFont="1" applyFill="1" applyBorder="1" applyAlignment="1">
      <alignment horizontal="center" vertical="center"/>
    </xf>
    <xf numFmtId="0" fontId="0" fillId="6" borderId="0" xfId="0" applyFill="1" applyBorder="1" applyAlignment="1">
      <alignment horizontal="center" vertical="center"/>
    </xf>
    <xf numFmtId="0" fontId="13" fillId="6" borderId="0" xfId="0" applyFont="1" applyFill="1" applyBorder="1" applyAlignment="1">
      <alignment horizontal="center" vertical="center"/>
    </xf>
    <xf numFmtId="0" fontId="5" fillId="0" borderId="71" xfId="0" applyFont="1" applyFill="1" applyBorder="1" applyAlignment="1" applyProtection="1">
      <alignment horizontal="left" vertical="center" indent="1"/>
      <protection locked="0"/>
    </xf>
    <xf numFmtId="0" fontId="6" fillId="0" borderId="71" xfId="0" applyFont="1" applyFill="1" applyBorder="1" applyAlignment="1" applyProtection="1">
      <alignment horizontal="left" vertical="center" indent="1"/>
      <protection locked="0"/>
    </xf>
    <xf numFmtId="0" fontId="0" fillId="0" borderId="71" xfId="0" applyFill="1" applyBorder="1" applyAlignment="1" applyProtection="1">
      <alignment horizontal="left" indent="1"/>
      <protection locked="0"/>
    </xf>
    <xf numFmtId="0" fontId="3" fillId="5" borderId="59" xfId="0" applyFont="1" applyFill="1" applyBorder="1" applyAlignment="1">
      <alignment horizontal="center" vertical="center"/>
    </xf>
    <xf numFmtId="0" fontId="0" fillId="0" borderId="130" xfId="0" applyBorder="1" applyAlignment="1"/>
    <xf numFmtId="0" fontId="0" fillId="0" borderId="131" xfId="0" applyBorder="1" applyAlignment="1"/>
    <xf numFmtId="0" fontId="0" fillId="2" borderId="0" xfId="0" applyFill="1" applyBorder="1" applyAlignment="1">
      <alignment horizontal="center" wrapText="1"/>
    </xf>
    <xf numFmtId="0" fontId="26" fillId="6" borderId="131" xfId="0" applyFont="1" applyFill="1" applyBorder="1" applyAlignment="1">
      <alignment horizontal="center" vertical="center"/>
    </xf>
    <xf numFmtId="0" fontId="14" fillId="5" borderId="75" xfId="0" applyFont="1" applyFill="1" applyBorder="1" applyAlignment="1">
      <alignment horizontal="center" vertical="center" wrapText="1"/>
    </xf>
    <xf numFmtId="0" fontId="34" fillId="5" borderId="75" xfId="0" applyFont="1" applyFill="1" applyBorder="1" applyAlignment="1">
      <alignment horizontal="center" vertical="center" wrapText="1"/>
    </xf>
    <xf numFmtId="0" fontId="7" fillId="6" borderId="77"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6" fillId="0" borderId="76" xfId="0" applyFont="1" applyBorder="1" applyAlignment="1"/>
    <xf numFmtId="0" fontId="34" fillId="5" borderId="108" xfId="0" applyFont="1" applyFill="1" applyBorder="1" applyAlignment="1">
      <alignment horizontal="center" vertical="center" wrapText="1"/>
    </xf>
    <xf numFmtId="0" fontId="6" fillId="0" borderId="109" xfId="0" applyFont="1" applyBorder="1" applyAlignment="1"/>
    <xf numFmtId="0" fontId="7" fillId="6" borderId="88" xfId="0" applyFont="1" applyFill="1" applyBorder="1" applyAlignment="1">
      <alignment horizontal="center" vertical="center" wrapText="1"/>
    </xf>
    <xf numFmtId="0" fontId="6" fillId="6" borderId="89" xfId="0" applyFont="1" applyFill="1" applyBorder="1" applyAlignment="1"/>
    <xf numFmtId="0" fontId="6" fillId="0" borderId="0" xfId="0" applyFont="1" applyAlignment="1"/>
    <xf numFmtId="0" fontId="0" fillId="0" borderId="61" xfId="0" applyBorder="1" applyAlignment="1">
      <alignment horizontal="center" vertical="center"/>
    </xf>
    <xf numFmtId="0" fontId="0" fillId="0" borderId="61" xfId="0" applyBorder="1" applyAlignment="1"/>
    <xf numFmtId="0" fontId="5" fillId="0" borderId="70" xfId="0" applyFont="1" applyFill="1" applyBorder="1" applyAlignment="1" applyProtection="1">
      <alignment horizontal="left" vertical="center" indent="1"/>
      <protection locked="0"/>
    </xf>
    <xf numFmtId="0" fontId="6" fillId="0" borderId="70" xfId="0" applyFont="1" applyFill="1" applyBorder="1" applyAlignment="1" applyProtection="1">
      <alignment horizontal="left" vertical="center" indent="1"/>
      <protection locked="0"/>
    </xf>
    <xf numFmtId="0" fontId="0" fillId="0" borderId="70" xfId="0" applyFill="1" applyBorder="1" applyAlignment="1" applyProtection="1">
      <alignment horizontal="left" indent="1"/>
      <protection locked="0"/>
    </xf>
    <xf numFmtId="0" fontId="26" fillId="6" borderId="0" xfId="0" applyFont="1" applyFill="1" applyBorder="1" applyAlignment="1">
      <alignment vertical="center"/>
    </xf>
    <xf numFmtId="0" fontId="11" fillId="0" borderId="135" xfId="0" applyFont="1" applyBorder="1" applyAlignment="1">
      <alignment horizontal="left" vertical="center" wrapText="1" indent="1"/>
    </xf>
    <xf numFmtId="0" fontId="1" fillId="0" borderId="71" xfId="0" applyFont="1" applyBorder="1" applyAlignment="1">
      <alignment horizontal="left" vertical="center" wrapText="1" indent="1"/>
    </xf>
    <xf numFmtId="0" fontId="1" fillId="0" borderId="136" xfId="0" applyFont="1" applyBorder="1" applyAlignment="1">
      <alignment horizontal="left" vertical="center" wrapText="1" indent="1"/>
    </xf>
    <xf numFmtId="0" fontId="11" fillId="0" borderId="71" xfId="0" applyFont="1" applyBorder="1" applyAlignment="1">
      <alignment horizontal="left" vertical="center" wrapText="1" indent="1"/>
    </xf>
    <xf numFmtId="0" fontId="11" fillId="0" borderId="136" xfId="0" applyFont="1" applyBorder="1" applyAlignment="1">
      <alignment horizontal="left" vertical="center" wrapText="1" indent="1"/>
    </xf>
    <xf numFmtId="0" fontId="28" fillId="6" borderId="0" xfId="0" applyFont="1" applyFill="1" applyBorder="1" applyAlignment="1">
      <alignment horizontal="right" vertical="top"/>
    </xf>
    <xf numFmtId="0" fontId="5" fillId="0" borderId="72" xfId="0" applyFont="1" applyFill="1" applyBorder="1" applyAlignment="1" applyProtection="1">
      <alignment horizontal="left" vertical="center" indent="1"/>
      <protection locked="0"/>
    </xf>
    <xf numFmtId="0" fontId="6" fillId="0" borderId="72" xfId="0" applyFont="1" applyFill="1" applyBorder="1" applyAlignment="1" applyProtection="1">
      <alignment horizontal="left" vertical="center" indent="1"/>
      <protection locked="0"/>
    </xf>
    <xf numFmtId="0" fontId="0" fillId="0" borderId="72" xfId="0" applyFill="1" applyBorder="1" applyAlignment="1" applyProtection="1">
      <alignment horizontal="left" indent="1"/>
      <protection locked="0"/>
    </xf>
    <xf numFmtId="0" fontId="0" fillId="0" borderId="71" xfId="0" applyBorder="1" applyAlignment="1" applyProtection="1">
      <alignment horizontal="left" indent="1"/>
      <protection locked="0"/>
    </xf>
    <xf numFmtId="0" fontId="7" fillId="6" borderId="108" xfId="0" applyFont="1" applyFill="1" applyBorder="1" applyAlignment="1">
      <alignment horizontal="center" vertical="center" wrapText="1"/>
    </xf>
    <xf numFmtId="0" fontId="6" fillId="6" borderId="109" xfId="0" applyFont="1" applyFill="1" applyBorder="1" applyAlignment="1"/>
    <xf numFmtId="0" fontId="3" fillId="5" borderId="0" xfId="0" applyFont="1" applyFill="1" applyAlignment="1">
      <alignment horizontal="center"/>
    </xf>
    <xf numFmtId="0" fontId="0" fillId="0" borderId="140" xfId="0" applyBorder="1" applyAlignment="1"/>
    <xf numFmtId="0" fontId="11" fillId="0" borderId="141" xfId="0" applyFont="1" applyBorder="1" applyAlignment="1">
      <alignment horizontal="left" vertical="center" wrapText="1" indent="1"/>
    </xf>
    <xf numFmtId="0" fontId="1" fillId="0" borderId="142" xfId="0" applyFont="1" applyBorder="1" applyAlignment="1">
      <alignment horizontal="left" vertical="center" wrapText="1" indent="1"/>
    </xf>
    <xf numFmtId="0" fontId="1" fillId="0" borderId="143" xfId="0" applyFont="1" applyBorder="1" applyAlignment="1">
      <alignment horizontal="left" vertical="center" wrapText="1" indent="1"/>
    </xf>
    <xf numFmtId="0" fontId="11" fillId="0" borderId="137" xfId="0" applyFont="1" applyBorder="1" applyAlignment="1">
      <alignment horizontal="left" vertical="center" wrapText="1" indent="1"/>
    </xf>
    <xf numFmtId="0" fontId="1" fillId="0" borderId="138" xfId="0" applyFont="1" applyBorder="1" applyAlignment="1">
      <alignment horizontal="left" vertical="center" wrapText="1" indent="1"/>
    </xf>
    <xf numFmtId="0" fontId="1" fillId="0" borderId="139" xfId="0" applyFont="1" applyBorder="1" applyAlignment="1">
      <alignment horizontal="left" vertical="center" wrapText="1" indent="1"/>
    </xf>
    <xf numFmtId="0" fontId="0" fillId="0" borderId="71" xfId="0" applyBorder="1" applyAlignment="1">
      <alignment horizontal="left" vertical="center" wrapText="1" indent="1"/>
    </xf>
    <xf numFmtId="0" fontId="0" fillId="0" borderId="136" xfId="0" applyBorder="1" applyAlignment="1">
      <alignment horizontal="left" vertical="center" wrapText="1" indent="1"/>
    </xf>
    <xf numFmtId="0" fontId="11" fillId="0" borderId="135" xfId="0" applyFont="1" applyBorder="1" applyAlignment="1">
      <alignment horizontal="left" vertical="center" wrapText="1"/>
    </xf>
    <xf numFmtId="0" fontId="1" fillId="0" borderId="71" xfId="0" applyFont="1" applyBorder="1" applyAlignment="1">
      <alignment horizontal="left" vertical="center" wrapText="1"/>
    </xf>
    <xf numFmtId="0" fontId="1" fillId="0" borderId="136" xfId="0" applyFont="1" applyBorder="1" applyAlignment="1">
      <alignment horizontal="left" vertical="center" wrapText="1"/>
    </xf>
    <xf numFmtId="0" fontId="0" fillId="0" borderId="135" xfId="0" applyBorder="1" applyAlignment="1"/>
    <xf numFmtId="0" fontId="0" fillId="0" borderId="71" xfId="0" applyBorder="1" applyAlignment="1"/>
    <xf numFmtId="0" fontId="0" fillId="0" borderId="136" xfId="0" applyBorder="1" applyAlignment="1"/>
    <xf numFmtId="0" fontId="3" fillId="5" borderId="66" xfId="0" applyFont="1" applyFill="1" applyBorder="1" applyAlignment="1">
      <alignment horizontal="center" vertical="center"/>
    </xf>
    <xf numFmtId="0" fontId="26" fillId="0" borderId="107" xfId="0" applyFont="1" applyBorder="1" applyAlignment="1"/>
    <xf numFmtId="0" fontId="26" fillId="0" borderId="76" xfId="0" applyFont="1" applyBorder="1" applyAlignment="1"/>
    <xf numFmtId="0" fontId="38" fillId="11" borderId="124" xfId="0" applyFont="1" applyFill="1" applyBorder="1" applyAlignment="1">
      <alignment horizontal="center" vertical="center" wrapText="1"/>
    </xf>
    <xf numFmtId="0" fontId="0" fillId="0" borderId="125" xfId="0" applyBorder="1" applyAlignment="1"/>
    <xf numFmtId="0" fontId="0" fillId="0" borderId="126" xfId="0" applyBorder="1" applyAlignment="1"/>
    <xf numFmtId="0" fontId="0" fillId="0" borderId="127" xfId="0" applyBorder="1" applyAlignment="1"/>
    <xf numFmtId="0" fontId="0" fillId="0" borderId="128" xfId="0" applyBorder="1" applyAlignment="1"/>
    <xf numFmtId="0" fontId="0" fillId="0" borderId="129" xfId="0" applyBorder="1" applyAlignment="1"/>
    <xf numFmtId="0" fontId="7" fillId="0" borderId="31" xfId="0" applyFont="1" applyFill="1" applyBorder="1" applyAlignment="1" applyProtection="1">
      <alignment horizontal="left" vertical="center" indent="1"/>
      <protection locked="0"/>
    </xf>
    <xf numFmtId="0" fontId="7" fillId="0" borderId="32" xfId="0" applyFont="1" applyFill="1" applyBorder="1" applyAlignment="1" applyProtection="1">
      <alignment horizontal="left" vertical="center" indent="1"/>
      <protection locked="0"/>
    </xf>
    <xf numFmtId="0" fontId="0" fillId="0" borderId="32" xfId="0" applyBorder="1" applyAlignment="1" applyProtection="1">
      <alignment horizontal="left" vertical="center" indent="1"/>
      <protection locked="0"/>
    </xf>
    <xf numFmtId="0" fontId="0" fillId="0" borderId="32" xfId="0" applyBorder="1" applyAlignment="1" applyProtection="1">
      <alignment horizontal="left" vertical="center"/>
      <protection locked="0"/>
    </xf>
    <xf numFmtId="0" fontId="11" fillId="0" borderId="31" xfId="0" applyFont="1" applyFill="1" applyBorder="1" applyAlignment="1" applyProtection="1">
      <alignment horizontal="left" vertical="center" indent="1"/>
      <protection locked="0"/>
    </xf>
    <xf numFmtId="0" fontId="11" fillId="0" borderId="32" xfId="0" applyFont="1" applyFill="1" applyBorder="1" applyAlignment="1" applyProtection="1">
      <alignment horizontal="left" vertical="center" indent="1"/>
      <protection locked="0"/>
    </xf>
    <xf numFmtId="0" fontId="11" fillId="0" borderId="100" xfId="0" applyFont="1" applyFill="1" applyBorder="1" applyAlignment="1" applyProtection="1">
      <alignment horizontal="left" vertical="center" indent="1"/>
      <protection locked="0"/>
    </xf>
    <xf numFmtId="0" fontId="10" fillId="5" borderId="32" xfId="0" applyFont="1" applyFill="1" applyBorder="1" applyAlignment="1" applyProtection="1">
      <alignment horizontal="center" vertical="center"/>
      <protection hidden="1"/>
    </xf>
    <xf numFmtId="0" fontId="50" fillId="5" borderId="32" xfId="0" applyFont="1" applyFill="1" applyBorder="1" applyAlignment="1" applyProtection="1">
      <alignment horizontal="center" vertical="center"/>
      <protection hidden="1"/>
    </xf>
    <xf numFmtId="0" fontId="50" fillId="5" borderId="100" xfId="0" applyFont="1" applyFill="1" applyBorder="1" applyAlignment="1" applyProtection="1">
      <alignment horizontal="center" vertical="center"/>
      <protection hidden="1"/>
    </xf>
    <xf numFmtId="0" fontId="0" fillId="0" borderId="71" xfId="0" applyBorder="1" applyAlignment="1">
      <alignment horizontal="right" indent="1"/>
    </xf>
    <xf numFmtId="0" fontId="6" fillId="2" borderId="71" xfId="0" applyFont="1" applyFill="1" applyBorder="1" applyAlignment="1"/>
    <xf numFmtId="0" fontId="5" fillId="0" borderId="74" xfId="0" applyFont="1" applyFill="1" applyBorder="1" applyAlignment="1" applyProtection="1">
      <alignment horizontal="left" vertical="center" indent="1"/>
      <protection locked="0"/>
    </xf>
    <xf numFmtId="0" fontId="6" fillId="0" borderId="74" xfId="0" applyFont="1" applyFill="1" applyBorder="1" applyAlignment="1" applyProtection="1">
      <alignment horizontal="left" vertical="center" indent="1"/>
      <protection locked="0"/>
    </xf>
    <xf numFmtId="0" fontId="0" fillId="0" borderId="74" xfId="0" applyFill="1" applyBorder="1" applyAlignment="1" applyProtection="1">
      <alignment horizontal="left" indent="1"/>
      <protection locked="0"/>
    </xf>
    <xf numFmtId="0" fontId="5" fillId="0" borderId="73" xfId="0" applyFont="1" applyFill="1" applyBorder="1" applyAlignment="1" applyProtection="1">
      <alignment horizontal="left" vertical="center" indent="1"/>
      <protection locked="0"/>
    </xf>
    <xf numFmtId="0" fontId="6" fillId="0" borderId="73" xfId="0" applyFont="1" applyFill="1" applyBorder="1" applyAlignment="1" applyProtection="1">
      <alignment horizontal="left" vertical="center" indent="1"/>
      <protection locked="0"/>
    </xf>
    <xf numFmtId="0" fontId="0" fillId="0" borderId="73" xfId="0" applyFill="1" applyBorder="1" applyAlignment="1" applyProtection="1">
      <alignment horizontal="left" indent="1"/>
      <protection locked="0"/>
    </xf>
    <xf numFmtId="0" fontId="1" fillId="0" borderId="135" xfId="0" applyFont="1" applyBorder="1" applyAlignment="1">
      <alignment horizontal="left" vertical="center" wrapText="1" indent="1"/>
    </xf>
    <xf numFmtId="0" fontId="6" fillId="6" borderId="130" xfId="0" applyFont="1" applyFill="1" applyBorder="1" applyAlignment="1">
      <alignment horizontal="left" indent="1"/>
    </xf>
    <xf numFmtId="0" fontId="6" fillId="6" borderId="131" xfId="0" applyFont="1" applyFill="1" applyBorder="1" applyAlignment="1">
      <alignment horizontal="left" indent="1"/>
    </xf>
    <xf numFmtId="0" fontId="14" fillId="5" borderId="59" xfId="0" applyFont="1" applyFill="1" applyBorder="1" applyAlignment="1">
      <alignment horizontal="center" vertical="center" wrapText="1"/>
    </xf>
    <xf numFmtId="0" fontId="6" fillId="0" borderId="131" xfId="0" applyFont="1" applyBorder="1" applyAlignment="1">
      <alignment horizontal="center" vertical="center" wrapText="1"/>
    </xf>
    <xf numFmtId="0" fontId="7" fillId="6" borderId="59" xfId="0" applyFont="1" applyFill="1" applyBorder="1" applyAlignment="1">
      <alignment horizontal="center" vertical="center" wrapText="1"/>
    </xf>
    <xf numFmtId="0" fontId="7" fillId="6" borderId="131" xfId="0" applyFont="1" applyFill="1" applyBorder="1" applyAlignment="1">
      <alignment horizontal="center" vertical="center" wrapText="1"/>
    </xf>
    <xf numFmtId="0" fontId="6" fillId="7" borderId="144" xfId="0" applyFont="1" applyFill="1" applyBorder="1" applyAlignment="1" applyProtection="1">
      <protection locked="0"/>
    </xf>
    <xf numFmtId="0" fontId="6" fillId="7" borderId="145" xfId="0" applyFont="1" applyFill="1" applyBorder="1" applyAlignment="1" applyProtection="1">
      <protection locked="0"/>
    </xf>
    <xf numFmtId="0" fontId="5" fillId="7" borderId="146" xfId="0" applyFont="1" applyFill="1" applyBorder="1" applyAlignment="1" applyProtection="1">
      <alignment horizontal="center"/>
      <protection locked="0"/>
    </xf>
    <xf numFmtId="0" fontId="6" fillId="7" borderId="147" xfId="0" applyFont="1" applyFill="1" applyBorder="1" applyAlignment="1" applyProtection="1">
      <alignment horizontal="center"/>
      <protection locked="0"/>
    </xf>
    <xf numFmtId="0" fontId="6" fillId="7" borderId="148" xfId="0" applyFont="1" applyFill="1" applyBorder="1" applyAlignment="1" applyProtection="1">
      <protection locked="0"/>
    </xf>
    <xf numFmtId="0" fontId="6" fillId="7" borderId="149" xfId="0" applyFont="1" applyFill="1" applyBorder="1" applyAlignment="1" applyProtection="1">
      <protection locked="0"/>
    </xf>
    <xf numFmtId="0" fontId="6" fillId="7" borderId="104" xfId="0" applyFont="1" applyFill="1" applyBorder="1" applyAlignment="1" applyProtection="1">
      <alignment horizontal="center"/>
      <protection locked="0"/>
    </xf>
    <xf numFmtId="0" fontId="6" fillId="7" borderId="150" xfId="0" applyFont="1" applyFill="1" applyBorder="1" applyAlignment="1" applyProtection="1">
      <alignment horizontal="center"/>
      <protection locked="0"/>
    </xf>
    <xf numFmtId="0" fontId="36" fillId="5" borderId="151" xfId="0" applyFont="1" applyFill="1" applyBorder="1" applyAlignment="1"/>
    <xf numFmtId="0" fontId="6" fillId="0" borderId="152" xfId="0" applyFont="1" applyBorder="1" applyAlignment="1"/>
    <xf numFmtId="0" fontId="5" fillId="7" borderId="153" xfId="0" applyFont="1" applyFill="1" applyBorder="1" applyAlignment="1" applyProtection="1">
      <alignment horizontal="center" vertical="center"/>
      <protection locked="0"/>
    </xf>
    <xf numFmtId="0" fontId="6" fillId="7" borderId="154" xfId="0" applyFont="1" applyFill="1" applyBorder="1" applyAlignment="1" applyProtection="1">
      <alignment horizontal="center"/>
      <protection locked="0"/>
    </xf>
    <xf numFmtId="0" fontId="6" fillId="7" borderId="155" xfId="0" applyFont="1" applyFill="1" applyBorder="1" applyAlignment="1" applyProtection="1">
      <protection locked="0"/>
    </xf>
    <xf numFmtId="0" fontId="6" fillId="7" borderId="79" xfId="0" applyFont="1" applyFill="1" applyBorder="1" applyAlignment="1" applyProtection="1">
      <protection locked="0"/>
    </xf>
    <xf numFmtId="0" fontId="6" fillId="7" borderId="156" xfId="0" applyFont="1" applyFill="1" applyBorder="1" applyAlignment="1" applyProtection="1">
      <protection locked="0"/>
    </xf>
    <xf numFmtId="0" fontId="6" fillId="7" borderId="83" xfId="0" applyFont="1" applyFill="1" applyBorder="1" applyAlignment="1" applyProtection="1">
      <protection locked="0"/>
    </xf>
    <xf numFmtId="0" fontId="6" fillId="0" borderId="13" xfId="0" applyFont="1" applyBorder="1" applyAlignment="1">
      <alignment horizontal="center"/>
    </xf>
    <xf numFmtId="0" fontId="0" fillId="0" borderId="13" xfId="0" applyBorder="1" applyAlignment="1">
      <alignment horizontal="center"/>
    </xf>
    <xf numFmtId="0" fontId="10" fillId="5" borderId="157" xfId="0" applyFont="1" applyFill="1" applyBorder="1" applyAlignment="1">
      <alignment horizontal="center"/>
    </xf>
    <xf numFmtId="0" fontId="6" fillId="0" borderId="92" xfId="0" applyFont="1" applyBorder="1" applyAlignment="1"/>
    <xf numFmtId="0" fontId="6" fillId="7" borderId="88" xfId="0" applyFont="1" applyFill="1" applyBorder="1" applyAlignment="1" applyProtection="1">
      <alignment horizontal="center" vertical="center" wrapText="1"/>
      <protection locked="0"/>
    </xf>
    <xf numFmtId="0" fontId="6" fillId="7" borderId="89" xfId="0" applyFont="1" applyFill="1" applyBorder="1" applyAlignment="1" applyProtection="1">
      <alignment horizontal="center" vertical="center" wrapText="1"/>
      <protection locked="0"/>
    </xf>
    <xf numFmtId="0" fontId="6" fillId="7" borderId="180" xfId="0" applyFont="1" applyFill="1" applyBorder="1" applyAlignment="1" applyProtection="1">
      <protection locked="0"/>
    </xf>
    <xf numFmtId="0" fontId="6" fillId="7" borderId="181" xfId="0" applyFont="1" applyFill="1" applyBorder="1" applyAlignment="1" applyProtection="1">
      <protection locked="0"/>
    </xf>
    <xf numFmtId="0" fontId="19" fillId="7" borderId="65" xfId="0" applyFont="1" applyFill="1" applyBorder="1" applyAlignment="1" applyProtection="1">
      <alignment horizontal="center" vertical="center" wrapText="1"/>
      <protection locked="0"/>
    </xf>
    <xf numFmtId="0" fontId="19" fillId="7" borderId="84" xfId="0" applyFont="1" applyFill="1" applyBorder="1" applyAlignment="1" applyProtection="1">
      <alignment horizontal="center" vertical="center" wrapText="1"/>
      <protection locked="0"/>
    </xf>
    <xf numFmtId="0" fontId="36" fillId="5" borderId="63" xfId="0" applyFont="1" applyFill="1" applyBorder="1" applyAlignment="1">
      <alignment horizontal="center" vertical="center" wrapText="1"/>
    </xf>
    <xf numFmtId="0" fontId="7" fillId="0" borderId="64" xfId="0" applyFont="1" applyBorder="1" applyAlignment="1">
      <alignment horizontal="center" vertical="center" wrapText="1"/>
    </xf>
    <xf numFmtId="0" fontId="27" fillId="0" borderId="4" xfId="0" applyFont="1" applyBorder="1" applyAlignment="1">
      <alignment horizontal="center"/>
    </xf>
    <xf numFmtId="0" fontId="0" fillId="0" borderId="4" xfId="0" applyBorder="1" applyAlignment="1">
      <alignment horizontal="center"/>
    </xf>
    <xf numFmtId="0" fontId="36" fillId="5" borderId="92" xfId="0" applyFont="1" applyFill="1" applyBorder="1" applyAlignment="1"/>
    <xf numFmtId="0" fontId="6" fillId="7" borderId="187" xfId="0" applyFont="1" applyFill="1" applyBorder="1" applyAlignment="1" applyProtection="1">
      <protection locked="0"/>
    </xf>
    <xf numFmtId="0" fontId="6" fillId="7" borderId="188" xfId="0" applyFont="1" applyFill="1" applyBorder="1" applyAlignment="1" applyProtection="1">
      <protection locked="0"/>
    </xf>
    <xf numFmtId="0" fontId="2" fillId="5" borderId="108" xfId="0" applyFont="1" applyFill="1" applyBorder="1" applyAlignment="1">
      <alignment horizontal="center" vertical="center"/>
    </xf>
    <xf numFmtId="0" fontId="6" fillId="0" borderId="109" xfId="0" applyFont="1" applyBorder="1" applyAlignment="1">
      <alignment horizontal="center" vertical="center"/>
    </xf>
    <xf numFmtId="0" fontId="5" fillId="7" borderId="146" xfId="0" applyFont="1" applyFill="1" applyBorder="1" applyAlignment="1" applyProtection="1">
      <alignment horizontal="center" vertical="center"/>
      <protection locked="0"/>
    </xf>
    <xf numFmtId="0" fontId="6" fillId="2" borderId="0" xfId="0" applyFont="1" applyFill="1" applyBorder="1" applyAlignment="1" applyProtection="1">
      <protection hidden="1"/>
    </xf>
    <xf numFmtId="0" fontId="4" fillId="5" borderId="30" xfId="0" applyFont="1" applyFill="1" applyBorder="1" applyAlignment="1" applyProtection="1">
      <alignment horizontal="center" vertical="center"/>
      <protection hidden="1"/>
    </xf>
    <xf numFmtId="0" fontId="4" fillId="5" borderId="30" xfId="0" applyFont="1" applyFill="1" applyBorder="1" applyAlignment="1" applyProtection="1">
      <alignment vertical="center"/>
      <protection hidden="1"/>
    </xf>
    <xf numFmtId="0" fontId="7" fillId="0" borderId="30" xfId="0" applyFont="1" applyBorder="1" applyAlignment="1" applyProtection="1">
      <alignment horizontal="left" vertical="center" indent="1"/>
      <protection locked="0"/>
    </xf>
    <xf numFmtId="0" fontId="6" fillId="0" borderId="30" xfId="0" applyFont="1" applyBorder="1" applyAlignment="1" applyProtection="1">
      <alignment horizontal="left" vertical="center" indent="1"/>
      <protection locked="0"/>
    </xf>
    <xf numFmtId="0" fontId="4" fillId="5" borderId="30" xfId="0" applyFont="1" applyFill="1" applyBorder="1" applyAlignment="1" applyProtection="1">
      <protection hidden="1"/>
    </xf>
    <xf numFmtId="0" fontId="6" fillId="0" borderId="30" xfId="0" applyFont="1" applyBorder="1" applyAlignment="1" applyProtection="1">
      <protection hidden="1"/>
    </xf>
    <xf numFmtId="0" fontId="7" fillId="0" borderId="30" xfId="0" applyFont="1" applyBorder="1" applyAlignment="1" applyProtection="1">
      <alignment horizontal="left" vertical="center" indent="1"/>
      <protection hidden="1"/>
    </xf>
    <xf numFmtId="0" fontId="2" fillId="5" borderId="32" xfId="0" applyFont="1" applyFill="1" applyBorder="1" applyAlignment="1">
      <alignment horizontal="center" vertical="center"/>
    </xf>
    <xf numFmtId="0" fontId="51" fillId="5" borderId="32" xfId="0" applyFont="1" applyFill="1" applyBorder="1" applyAlignment="1">
      <alignment horizontal="center" vertical="center"/>
    </xf>
    <xf numFmtId="0" fontId="51" fillId="5" borderId="100" xfId="0" applyFont="1" applyFill="1" applyBorder="1" applyAlignment="1">
      <alignment horizontal="center" vertical="center"/>
    </xf>
    <xf numFmtId="0" fontId="5" fillId="0" borderId="31" xfId="0" applyFont="1" applyFill="1" applyBorder="1" applyAlignment="1" applyProtection="1">
      <alignment horizontal="left" vertical="center" indent="1"/>
      <protection hidden="1"/>
    </xf>
    <xf numFmtId="0" fontId="5" fillId="0" borderId="32" xfId="0" applyFont="1" applyFill="1" applyBorder="1" applyAlignment="1" applyProtection="1">
      <alignment horizontal="left" vertical="center" indent="1"/>
      <protection hidden="1"/>
    </xf>
    <xf numFmtId="0" fontId="5" fillId="0" borderId="100" xfId="0" applyFont="1" applyFill="1" applyBorder="1" applyAlignment="1" applyProtection="1">
      <alignment horizontal="left" vertical="center" indent="1"/>
      <protection hidden="1"/>
    </xf>
    <xf numFmtId="169" fontId="7" fillId="0" borderId="31" xfId="0" applyNumberFormat="1" applyFont="1" applyBorder="1" applyAlignment="1" applyProtection="1">
      <alignment horizontal="left" vertical="center" indent="1"/>
      <protection hidden="1"/>
    </xf>
    <xf numFmtId="0" fontId="0" fillId="0" borderId="32" xfId="0" applyBorder="1" applyAlignment="1">
      <alignment horizontal="left" vertical="center" indent="1"/>
    </xf>
    <xf numFmtId="0" fontId="4" fillId="5" borderId="31" xfId="0" applyFont="1" applyFill="1" applyBorder="1" applyAlignment="1" applyProtection="1">
      <alignment horizontal="center" vertical="center"/>
      <protection hidden="1"/>
    </xf>
    <xf numFmtId="0" fontId="4" fillId="5" borderId="32" xfId="0" applyFont="1" applyFill="1" applyBorder="1" applyAlignment="1" applyProtection="1">
      <alignment horizontal="center" vertical="center"/>
      <protection hidden="1"/>
    </xf>
    <xf numFmtId="0" fontId="4" fillId="5" borderId="32" xfId="0" applyFont="1" applyFill="1" applyBorder="1" applyAlignment="1" applyProtection="1">
      <alignment vertical="center"/>
      <protection hidden="1"/>
    </xf>
    <xf numFmtId="0" fontId="4" fillId="5" borderId="100" xfId="0" applyFont="1" applyFill="1" applyBorder="1" applyAlignment="1" applyProtection="1">
      <alignment vertical="center"/>
      <protection hidden="1"/>
    </xf>
    <xf numFmtId="0" fontId="2" fillId="5" borderId="32" xfId="0" applyFont="1" applyFill="1" applyBorder="1" applyAlignment="1" applyProtection="1">
      <alignment horizontal="center"/>
      <protection hidden="1"/>
    </xf>
    <xf numFmtId="0" fontId="3" fillId="5" borderId="32" xfId="0" applyFont="1" applyFill="1" applyBorder="1" applyAlignment="1" applyProtection="1">
      <protection hidden="1"/>
    </xf>
    <xf numFmtId="0" fontId="6" fillId="0" borderId="32" xfId="0" applyFont="1" applyBorder="1" applyAlignment="1" applyProtection="1">
      <protection hidden="1"/>
    </xf>
    <xf numFmtId="0" fontId="2" fillId="5" borderId="100" xfId="0" applyFont="1" applyFill="1" applyBorder="1" applyAlignment="1" applyProtection="1">
      <alignment horizontal="center"/>
      <protection hidden="1"/>
    </xf>
    <xf numFmtId="0" fontId="55"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6" fillId="2" borderId="0" xfId="0" applyFont="1" applyFill="1" applyAlignment="1" applyProtection="1">
      <protection hidden="1"/>
    </xf>
    <xf numFmtId="0" fontId="3" fillId="5" borderId="0" xfId="0" applyFont="1" applyFill="1" applyAlignment="1" applyProtection="1">
      <alignment horizontal="center" vertical="center"/>
      <protection hidden="1"/>
    </xf>
    <xf numFmtId="0" fontId="0" fillId="0" borderId="0" xfId="0" applyAlignment="1" applyProtection="1">
      <protection hidden="1"/>
    </xf>
    <xf numFmtId="165" fontId="30" fillId="5" borderId="0" xfId="0" applyNumberFormat="1" applyFont="1" applyFill="1" applyAlignment="1" applyProtection="1">
      <alignment horizontal="right" vertical="center"/>
      <protection hidden="1"/>
    </xf>
    <xf numFmtId="165" fontId="31" fillId="0" borderId="0" xfId="0" applyNumberFormat="1" applyFont="1" applyAlignment="1" applyProtection="1">
      <alignment horizontal="right" vertical="center"/>
      <protection hidden="1"/>
    </xf>
    <xf numFmtId="166" fontId="30" fillId="5" borderId="0" xfId="0" applyNumberFormat="1" applyFont="1" applyFill="1" applyAlignment="1" applyProtection="1">
      <alignment horizontal="left" vertical="center"/>
      <protection hidden="1"/>
    </xf>
    <xf numFmtId="168" fontId="5" fillId="0" borderId="67" xfId="0" applyNumberFormat="1" applyFont="1" applyBorder="1" applyAlignment="1" applyProtection="1">
      <alignment horizontal="center" vertical="center"/>
      <protection hidden="1"/>
    </xf>
    <xf numFmtId="168" fontId="5" fillId="0" borderId="120" xfId="0" applyNumberFormat="1" applyFont="1" applyBorder="1" applyAlignment="1" applyProtection="1">
      <alignment horizontal="center" vertical="center"/>
      <protection hidden="1"/>
    </xf>
    <xf numFmtId="0" fontId="5" fillId="0" borderId="120" xfId="0" applyFont="1" applyBorder="1" applyAlignment="1" applyProtection="1">
      <alignment horizontal="left" vertical="center" indent="1"/>
      <protection hidden="1"/>
    </xf>
    <xf numFmtId="0" fontId="5" fillId="0" borderId="123" xfId="0" applyFont="1" applyBorder="1" applyAlignment="1" applyProtection="1">
      <alignment horizontal="left" vertical="center" indent="1"/>
      <protection hidden="1"/>
    </xf>
    <xf numFmtId="168" fontId="5" fillId="0" borderId="158" xfId="0" applyNumberFormat="1" applyFont="1" applyBorder="1" applyAlignment="1" applyProtection="1">
      <alignment horizontal="center" vertical="center"/>
      <protection hidden="1"/>
    </xf>
    <xf numFmtId="168" fontId="5" fillId="0" borderId="159" xfId="0" applyNumberFormat="1" applyFont="1" applyBorder="1" applyAlignment="1" applyProtection="1">
      <alignment horizontal="center" vertical="center"/>
      <protection hidden="1"/>
    </xf>
    <xf numFmtId="0" fontId="5" fillId="0" borderId="159" xfId="0" applyFont="1" applyBorder="1" applyAlignment="1" applyProtection="1">
      <alignment horizontal="left" vertical="center" indent="1"/>
      <protection hidden="1"/>
    </xf>
    <xf numFmtId="0" fontId="5" fillId="0" borderId="160" xfId="0" applyFont="1" applyBorder="1" applyAlignment="1" applyProtection="1">
      <alignment horizontal="left" vertical="center" indent="1"/>
      <protection hidden="1"/>
    </xf>
    <xf numFmtId="168" fontId="5" fillId="0" borderId="68" xfId="0" applyNumberFormat="1" applyFont="1" applyBorder="1" applyAlignment="1" applyProtection="1">
      <alignment horizontal="center" vertical="center"/>
      <protection hidden="1"/>
    </xf>
    <xf numFmtId="168" fontId="5" fillId="0" borderId="111" xfId="0" applyNumberFormat="1" applyFont="1" applyBorder="1" applyAlignment="1" applyProtection="1">
      <alignment horizontal="center" vertical="center"/>
      <protection hidden="1"/>
    </xf>
    <xf numFmtId="0" fontId="5" fillId="0" borderId="111" xfId="0" applyFont="1" applyBorder="1" applyAlignment="1" applyProtection="1">
      <alignment horizontal="left" vertical="center" indent="1"/>
      <protection hidden="1"/>
    </xf>
    <xf numFmtId="0" fontId="5" fillId="0" borderId="119" xfId="0" applyFont="1" applyBorder="1" applyAlignment="1" applyProtection="1">
      <alignment horizontal="left" vertical="center" indent="1"/>
      <protection hidden="1"/>
    </xf>
    <xf numFmtId="0" fontId="5" fillId="0" borderId="119" xfId="0" applyFont="1" applyBorder="1" applyAlignment="1" applyProtection="1">
      <alignment horizontal="left" vertical="center"/>
      <protection hidden="1"/>
    </xf>
    <xf numFmtId="0" fontId="5" fillId="0" borderId="71" xfId="0" applyFont="1" applyBorder="1" applyAlignment="1" applyProtection="1">
      <alignment horizontal="left" vertical="center"/>
      <protection hidden="1"/>
    </xf>
    <xf numFmtId="0" fontId="5" fillId="0" borderId="123" xfId="0" applyFont="1" applyBorder="1" applyAlignment="1" applyProtection="1">
      <alignment horizontal="left" vertical="center"/>
      <protection hidden="1"/>
    </xf>
    <xf numFmtId="0" fontId="5" fillId="0" borderId="73" xfId="0" applyFont="1" applyBorder="1" applyAlignment="1" applyProtection="1">
      <alignment horizontal="left" vertical="center"/>
      <protection hidden="1"/>
    </xf>
    <xf numFmtId="0" fontId="31" fillId="0" borderId="0" xfId="0" applyFont="1" applyAlignment="1" applyProtection="1">
      <alignment horizontal="right" vertical="center"/>
      <protection hidden="1"/>
    </xf>
    <xf numFmtId="0" fontId="5" fillId="0" borderId="122" xfId="0" applyFont="1" applyBorder="1" applyAlignment="1" applyProtection="1">
      <alignment horizontal="left" vertical="center"/>
      <protection hidden="1"/>
    </xf>
    <xf numFmtId="0" fontId="5" fillId="0" borderId="74" xfId="0" applyFont="1" applyBorder="1" applyAlignment="1" applyProtection="1">
      <alignment horizontal="left" vertical="center"/>
      <protection hidden="1"/>
    </xf>
    <xf numFmtId="0" fontId="55" fillId="0" borderId="79" xfId="0" applyFont="1" applyBorder="1" applyAlignment="1" applyProtection="1">
      <alignment horizontal="center" vertical="center"/>
      <protection hidden="1"/>
    </xf>
    <xf numFmtId="0" fontId="13" fillId="0" borderId="79" xfId="0" applyFont="1" applyBorder="1" applyAlignment="1" applyProtection="1">
      <alignment horizontal="center" vertical="center"/>
      <protection hidden="1"/>
    </xf>
    <xf numFmtId="0" fontId="55"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3" fillId="5" borderId="79" xfId="0" applyFont="1" applyFill="1" applyBorder="1" applyAlignment="1" applyProtection="1">
      <alignment horizontal="center" vertical="center" wrapText="1"/>
      <protection hidden="1"/>
    </xf>
    <xf numFmtId="0" fontId="3" fillId="5" borderId="79"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0" fillId="0" borderId="79" xfId="0" applyBorder="1" applyAlignment="1" applyProtection="1">
      <protection hidden="1"/>
    </xf>
    <xf numFmtId="0" fontId="0" fillId="0" borderId="0" xfId="0" applyBorder="1" applyAlignment="1" applyProtection="1">
      <protection hidden="1"/>
    </xf>
    <xf numFmtId="168" fontId="5" fillId="0" borderId="69" xfId="0" applyNumberFormat="1" applyFont="1" applyBorder="1" applyAlignment="1" applyProtection="1">
      <alignment horizontal="center" vertical="center"/>
      <protection hidden="1"/>
    </xf>
    <xf numFmtId="168" fontId="5" fillId="0" borderId="121" xfId="0" applyNumberFormat="1" applyFont="1" applyBorder="1" applyAlignment="1" applyProtection="1">
      <alignment horizontal="center" vertical="center"/>
      <protection hidden="1"/>
    </xf>
    <xf numFmtId="0" fontId="5" fillId="0" borderId="121" xfId="0" applyFont="1" applyBorder="1" applyAlignment="1" applyProtection="1">
      <alignment horizontal="left" vertical="center" indent="1"/>
      <protection hidden="1"/>
    </xf>
    <xf numFmtId="0" fontId="5" fillId="0" borderId="122" xfId="0" applyFont="1" applyBorder="1" applyAlignment="1" applyProtection="1">
      <alignment horizontal="left" vertical="center" indent="1"/>
      <protection hidden="1"/>
    </xf>
    <xf numFmtId="164" fontId="28" fillId="0" borderId="0" xfId="0" applyNumberFormat="1" applyFont="1" applyBorder="1" applyAlignment="1" applyProtection="1">
      <alignment horizontal="right" vertical="top"/>
      <protection hidden="1"/>
    </xf>
    <xf numFmtId="0" fontId="29" fillId="0" borderId="0" xfId="0" applyFont="1" applyBorder="1" applyAlignment="1" applyProtection="1">
      <alignment horizontal="right" vertical="top"/>
      <protection hidden="1"/>
    </xf>
    <xf numFmtId="0" fontId="28" fillId="0" borderId="83" xfId="0" applyFont="1" applyBorder="1" applyAlignment="1" applyProtection="1">
      <alignment horizontal="right" vertical="top"/>
      <protection hidden="1"/>
    </xf>
    <xf numFmtId="0" fontId="29" fillId="0" borderId="83" xfId="0" applyFont="1" applyBorder="1" applyAlignment="1" applyProtection="1">
      <alignment horizontal="right" vertical="top"/>
      <protection hidden="1"/>
    </xf>
    <xf numFmtId="0" fontId="5" fillId="0" borderId="110" xfId="0" applyFont="1" applyBorder="1" applyAlignment="1" applyProtection="1">
      <alignment horizontal="left" vertical="center"/>
      <protection hidden="1"/>
    </xf>
    <xf numFmtId="0" fontId="5" fillId="0" borderId="112" xfId="0" applyFont="1" applyBorder="1" applyAlignment="1" applyProtection="1">
      <alignment horizontal="left" vertical="center"/>
      <protection hidden="1"/>
    </xf>
    <xf numFmtId="0" fontId="5" fillId="0" borderId="111" xfId="0" applyFont="1" applyBorder="1" applyAlignment="1" applyProtection="1">
      <alignment horizontal="left" vertical="center"/>
      <protection hidden="1"/>
    </xf>
    <xf numFmtId="0" fontId="5" fillId="0" borderId="113" xfId="0" applyFont="1" applyBorder="1" applyAlignment="1" applyProtection="1">
      <alignment horizontal="left" vertical="center"/>
      <protection hidden="1"/>
    </xf>
    <xf numFmtId="0" fontId="5" fillId="0" borderId="161" xfId="0" applyFont="1" applyBorder="1" applyAlignment="1" applyProtection="1">
      <alignment horizontal="left" vertical="center"/>
      <protection hidden="1"/>
    </xf>
    <xf numFmtId="168" fontId="5" fillId="0" borderId="80" xfId="0" applyNumberFormat="1" applyFont="1" applyBorder="1" applyAlignment="1" applyProtection="1">
      <alignment horizontal="center" vertical="center"/>
      <protection hidden="1"/>
    </xf>
    <xf numFmtId="168" fontId="5" fillId="0" borderId="162" xfId="0" applyNumberFormat="1" applyFont="1" applyBorder="1" applyAlignment="1" applyProtection="1">
      <alignment horizontal="center" vertical="center"/>
      <protection hidden="1"/>
    </xf>
    <xf numFmtId="0" fontId="5" fillId="0" borderId="162" xfId="0" applyFont="1" applyBorder="1" applyAlignment="1" applyProtection="1">
      <alignment horizontal="left" vertical="center" indent="1"/>
      <protection hidden="1"/>
    </xf>
    <xf numFmtId="0" fontId="5" fillId="0" borderId="163" xfId="0" applyFont="1" applyBorder="1" applyAlignment="1" applyProtection="1">
      <alignment horizontal="left" vertical="center" indent="1"/>
      <protection hidden="1"/>
    </xf>
    <xf numFmtId="168" fontId="5" fillId="0" borderId="81" xfId="0" applyNumberFormat="1" applyFont="1" applyBorder="1" applyAlignment="1" applyProtection="1">
      <alignment horizontal="center" vertical="center"/>
      <protection hidden="1"/>
    </xf>
    <xf numFmtId="168" fontId="5" fillId="0" borderId="110" xfId="0" applyNumberFormat="1" applyFont="1" applyBorder="1" applyAlignment="1" applyProtection="1">
      <alignment horizontal="center" vertical="center"/>
      <protection hidden="1"/>
    </xf>
    <xf numFmtId="0" fontId="5" fillId="0" borderId="110" xfId="0" applyFont="1" applyBorder="1" applyAlignment="1" applyProtection="1">
      <alignment horizontal="left" vertical="center" indent="1"/>
      <protection hidden="1"/>
    </xf>
    <xf numFmtId="0" fontId="5" fillId="0" borderId="112" xfId="0" applyFont="1" applyBorder="1" applyAlignment="1" applyProtection="1">
      <alignment horizontal="left" vertical="center" indent="1"/>
      <protection hidden="1"/>
    </xf>
    <xf numFmtId="0" fontId="55" fillId="0" borderId="83"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168" fontId="5" fillId="0" borderId="82" xfId="0" applyNumberFormat="1" applyFont="1" applyBorder="1" applyAlignment="1" applyProtection="1">
      <alignment horizontal="center" vertical="center"/>
      <protection hidden="1"/>
    </xf>
    <xf numFmtId="168" fontId="5" fillId="0" borderId="113" xfId="0" applyNumberFormat="1" applyFont="1" applyBorder="1" applyAlignment="1" applyProtection="1">
      <alignment horizontal="center" vertical="center"/>
      <protection hidden="1"/>
    </xf>
    <xf numFmtId="0" fontId="5" fillId="0" borderId="113" xfId="0" applyFont="1" applyBorder="1" applyAlignment="1" applyProtection="1">
      <alignment horizontal="left" vertical="center" indent="1"/>
      <protection hidden="1"/>
    </xf>
    <xf numFmtId="0" fontId="5" fillId="0" borderId="161" xfId="0" applyFont="1" applyBorder="1" applyAlignment="1" applyProtection="1">
      <alignment horizontal="left" vertical="center" indent="1"/>
      <protection hidden="1"/>
    </xf>
    <xf numFmtId="0" fontId="55" fillId="0" borderId="29"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5" fillId="0" borderId="162" xfId="0" applyFont="1" applyBorder="1" applyAlignment="1" applyProtection="1">
      <alignment horizontal="left" vertical="center"/>
      <protection hidden="1"/>
    </xf>
    <xf numFmtId="0" fontId="5" fillId="0" borderId="163" xfId="0" applyFont="1" applyBorder="1" applyAlignment="1" applyProtection="1">
      <alignment horizontal="left" vertical="center"/>
      <protection hidden="1"/>
    </xf>
    <xf numFmtId="1" fontId="5" fillId="0" borderId="68" xfId="0" applyNumberFormat="1" applyFont="1" applyBorder="1" applyAlignment="1" applyProtection="1">
      <alignment horizontal="center" vertical="center"/>
      <protection hidden="1"/>
    </xf>
    <xf numFmtId="1" fontId="5" fillId="0" borderId="111" xfId="0" applyNumberFormat="1" applyFont="1" applyBorder="1" applyAlignment="1" applyProtection="1">
      <alignment horizontal="center" vertical="center"/>
      <protection hidden="1"/>
    </xf>
    <xf numFmtId="0" fontId="5" fillId="2" borderId="0" xfId="0" applyFont="1" applyFill="1" applyAlignment="1" applyProtection="1">
      <protection hidden="1"/>
    </xf>
    <xf numFmtId="0" fontId="5" fillId="0" borderId="111" xfId="0" applyFont="1" applyFill="1" applyBorder="1" applyAlignment="1" applyProtection="1">
      <alignment horizontal="left" vertical="center" indent="1"/>
      <protection hidden="1"/>
    </xf>
    <xf numFmtId="0" fontId="5" fillId="0" borderId="111" xfId="0" applyFont="1" applyBorder="1" applyAlignment="1" applyProtection="1">
      <alignment horizontal="left" indent="1"/>
      <protection hidden="1"/>
    </xf>
    <xf numFmtId="0" fontId="5" fillId="0" borderId="119" xfId="0" applyFont="1" applyBorder="1" applyAlignment="1" applyProtection="1">
      <alignment horizontal="left" indent="1"/>
      <protection hidden="1"/>
    </xf>
    <xf numFmtId="1" fontId="5" fillId="0" borderId="80" xfId="0" applyNumberFormat="1" applyFont="1" applyBorder="1" applyAlignment="1" applyProtection="1">
      <alignment horizontal="center" vertical="center"/>
      <protection hidden="1"/>
    </xf>
    <xf numFmtId="1" fontId="5" fillId="0" borderId="162" xfId="0" applyNumberFormat="1" applyFont="1" applyBorder="1" applyAlignment="1" applyProtection="1">
      <alignment horizontal="center" vertical="center"/>
      <protection hidden="1"/>
    </xf>
    <xf numFmtId="0" fontId="5" fillId="0" borderId="120" xfId="0" applyFont="1" applyFill="1" applyBorder="1" applyAlignment="1" applyProtection="1">
      <alignment horizontal="left" vertical="center" indent="1"/>
      <protection hidden="1"/>
    </xf>
    <xf numFmtId="0" fontId="5" fillId="0" borderId="120" xfId="0" applyFont="1" applyBorder="1" applyAlignment="1" applyProtection="1">
      <alignment horizontal="left" indent="1"/>
      <protection hidden="1"/>
    </xf>
    <xf numFmtId="0" fontId="5" fillId="0" borderId="123" xfId="0" applyFont="1" applyBorder="1" applyAlignment="1" applyProtection="1">
      <alignment horizontal="left" indent="1"/>
      <protection hidden="1"/>
    </xf>
    <xf numFmtId="0" fontId="5" fillId="0" borderId="121" xfId="0" applyFont="1" applyBorder="1" applyAlignment="1" applyProtection="1">
      <alignment horizontal="left" vertical="center"/>
      <protection hidden="1"/>
    </xf>
    <xf numFmtId="0" fontId="4" fillId="5" borderId="0" xfId="0" applyFont="1" applyFill="1"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61" xfId="0" applyBorder="1" applyAlignment="1" applyProtection="1">
      <protection hidden="1"/>
    </xf>
    <xf numFmtId="0" fontId="15" fillId="5" borderId="61" xfId="0" applyFont="1" applyFill="1" applyBorder="1" applyAlignment="1" applyProtection="1">
      <alignment horizontal="center" vertical="center"/>
      <protection hidden="1"/>
    </xf>
    <xf numFmtId="0" fontId="6" fillId="2" borderId="61" xfId="0" applyFont="1" applyFill="1" applyBorder="1" applyAlignment="1" applyProtection="1">
      <protection hidden="1"/>
    </xf>
    <xf numFmtId="0" fontId="4" fillId="5" borderId="61" xfId="0" applyFont="1" applyFill="1" applyBorder="1" applyAlignment="1" applyProtection="1">
      <alignment horizontal="center" vertical="center"/>
      <protection hidden="1"/>
    </xf>
    <xf numFmtId="1" fontId="5" fillId="0" borderId="69" xfId="0" applyNumberFormat="1" applyFont="1" applyBorder="1" applyAlignment="1" applyProtection="1">
      <alignment horizontal="center" vertical="center"/>
      <protection hidden="1"/>
    </xf>
    <xf numFmtId="1" fontId="5" fillId="0" borderId="121" xfId="0" applyNumberFormat="1" applyFont="1" applyBorder="1" applyAlignment="1" applyProtection="1">
      <alignment horizontal="center" vertical="center"/>
      <protection hidden="1"/>
    </xf>
    <xf numFmtId="0" fontId="5" fillId="2" borderId="29" xfId="0" applyFont="1" applyFill="1" applyBorder="1" applyAlignment="1" applyProtection="1">
      <protection hidden="1"/>
    </xf>
    <xf numFmtId="0" fontId="5" fillId="0" borderId="121" xfId="0" applyFont="1" applyFill="1" applyBorder="1" applyAlignment="1" applyProtection="1">
      <alignment horizontal="left" vertical="center" indent="1"/>
      <protection hidden="1"/>
    </xf>
    <xf numFmtId="0" fontId="5" fillId="0" borderId="121" xfId="0" applyFont="1" applyBorder="1" applyAlignment="1" applyProtection="1">
      <alignment horizontal="left" indent="1"/>
      <protection hidden="1"/>
    </xf>
    <xf numFmtId="0" fontId="5" fillId="0" borderId="122" xfId="0" applyFont="1" applyBorder="1" applyAlignment="1" applyProtection="1">
      <alignment horizontal="left" indent="1"/>
      <protection hidden="1"/>
    </xf>
    <xf numFmtId="0" fontId="0" fillId="2" borderId="0" xfId="0" applyFill="1" applyBorder="1" applyAlignment="1" applyProtection="1">
      <alignment horizontal="center" wrapText="1"/>
      <protection hidden="1"/>
    </xf>
    <xf numFmtId="0" fontId="12" fillId="0" borderId="59" xfId="0" applyFont="1" applyBorder="1" applyAlignment="1" applyProtection="1">
      <alignment horizontal="center" vertical="center"/>
      <protection hidden="1"/>
    </xf>
    <xf numFmtId="0" fontId="12" fillId="0" borderId="131"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1" fillId="0" borderId="164"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21" fillId="0" borderId="170" xfId="0" applyFont="1" applyBorder="1" applyAlignment="1" applyProtection="1">
      <alignment horizontal="center" vertical="center" wrapText="1"/>
      <protection hidden="1"/>
    </xf>
    <xf numFmtId="0" fontId="23" fillId="0" borderId="0" xfId="0" applyFont="1" applyBorder="1" applyAlignment="1" applyProtection="1">
      <protection hidden="1"/>
    </xf>
    <xf numFmtId="0" fontId="23" fillId="0" borderId="171" xfId="0" applyFont="1" applyBorder="1" applyAlignment="1" applyProtection="1">
      <protection hidden="1"/>
    </xf>
    <xf numFmtId="0" fontId="21" fillId="0" borderId="0"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6" fillId="2" borderId="79" xfId="0" applyFont="1" applyFill="1" applyBorder="1" applyAlignment="1" applyProtection="1">
      <protection hidden="1"/>
    </xf>
    <xf numFmtId="0" fontId="11" fillId="0" borderId="116"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11" fillId="0" borderId="172"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24" fillId="0" borderId="173" xfId="0" applyFont="1" applyBorder="1" applyAlignment="1" applyProtection="1">
      <alignment horizontal="center" vertical="center"/>
      <protection hidden="1"/>
    </xf>
    <xf numFmtId="0" fontId="0" fillId="0" borderId="174" xfId="0" applyBorder="1" applyProtection="1">
      <protection hidden="1"/>
    </xf>
    <xf numFmtId="0" fontId="21" fillId="0" borderId="29" xfId="0" applyFont="1" applyBorder="1" applyAlignment="1" applyProtection="1">
      <alignment horizontal="center" vertical="center"/>
      <protection hidden="1"/>
    </xf>
    <xf numFmtId="0" fontId="21" fillId="0" borderId="175" xfId="0" applyFont="1" applyBorder="1" applyAlignment="1" applyProtection="1">
      <alignment horizontal="center" vertical="center"/>
      <protection hidden="1"/>
    </xf>
    <xf numFmtId="0" fontId="13" fillId="0" borderId="176" xfId="0" applyFont="1" applyBorder="1" applyAlignment="1">
      <alignment horizontal="center"/>
    </xf>
    <xf numFmtId="0" fontId="0" fillId="0" borderId="9" xfId="0" applyBorder="1" applyAlignment="1">
      <alignment horizontal="center"/>
    </xf>
    <xf numFmtId="0" fontId="0" fillId="2" borderId="90" xfId="0" applyFill="1" applyBorder="1" applyAlignment="1" applyProtection="1">
      <protection hidden="1"/>
    </xf>
    <xf numFmtId="0" fontId="0" fillId="2" borderId="29" xfId="0" applyFill="1" applyBorder="1" applyAlignment="1" applyProtection="1">
      <alignment horizontal="center" vertical="center" wrapText="1"/>
      <protection hidden="1"/>
    </xf>
    <xf numFmtId="0" fontId="11" fillId="0" borderId="169"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3" fillId="5" borderId="59" xfId="0" applyFont="1" applyFill="1" applyBorder="1" applyAlignment="1" applyProtection="1">
      <alignment horizontal="center" vertical="center"/>
      <protection hidden="1"/>
    </xf>
    <xf numFmtId="0" fontId="0" fillId="0" borderId="130" xfId="0" applyBorder="1" applyAlignment="1" applyProtection="1">
      <protection hidden="1"/>
    </xf>
    <xf numFmtId="0" fontId="0" fillId="0" borderId="131" xfId="0" applyBorder="1" applyAlignment="1" applyProtection="1">
      <protection hidden="1"/>
    </xf>
    <xf numFmtId="0" fontId="12" fillId="0" borderId="59" xfId="0" applyFont="1" applyFill="1" applyBorder="1" applyAlignment="1" applyProtection="1">
      <alignment horizontal="center" vertical="center"/>
      <protection hidden="1"/>
    </xf>
    <xf numFmtId="0" fontId="0" fillId="0" borderId="131" xfId="0" applyBorder="1" applyAlignment="1" applyProtection="1">
      <alignment horizontal="center" vertical="center"/>
      <protection hidden="1"/>
    </xf>
    <xf numFmtId="0" fontId="27" fillId="0" borderId="185" xfId="0" applyFont="1" applyBorder="1" applyAlignment="1">
      <alignment horizontal="center"/>
    </xf>
    <xf numFmtId="0" fontId="27" fillId="0" borderId="91" xfId="0" applyFont="1" applyBorder="1" applyAlignment="1">
      <alignment horizontal="center"/>
    </xf>
    <xf numFmtId="0" fontId="3" fillId="5" borderId="95" xfId="0" applyFont="1" applyFill="1" applyBorder="1" applyAlignment="1" applyProtection="1">
      <alignment horizontal="center"/>
      <protection hidden="1"/>
    </xf>
    <xf numFmtId="0" fontId="3" fillId="5" borderId="61" xfId="0" applyFont="1" applyFill="1" applyBorder="1" applyAlignment="1" applyProtection="1">
      <alignment horizontal="center"/>
      <protection hidden="1"/>
    </xf>
    <xf numFmtId="0" fontId="3" fillId="5" borderId="165" xfId="0" applyFont="1" applyFill="1" applyBorder="1" applyAlignment="1" applyProtection="1">
      <alignment horizontal="center"/>
      <protection hidden="1"/>
    </xf>
    <xf numFmtId="0" fontId="21" fillId="0" borderId="166" xfId="0" applyFont="1" applyBorder="1" applyAlignment="1" applyProtection="1">
      <alignment horizontal="center" vertical="center" wrapText="1"/>
      <protection hidden="1"/>
    </xf>
    <xf numFmtId="0" fontId="23" fillId="0" borderId="79" xfId="0" applyFont="1" applyBorder="1" applyAlignment="1" applyProtection="1">
      <protection hidden="1"/>
    </xf>
    <xf numFmtId="0" fontId="23" fillId="0" borderId="167" xfId="0" applyFont="1" applyBorder="1" applyAlignment="1" applyProtection="1">
      <protection hidden="1"/>
    </xf>
    <xf numFmtId="0" fontId="35" fillId="0" borderId="168" xfId="0" applyFont="1" applyBorder="1" applyAlignment="1" applyProtection="1">
      <alignment horizontal="center" vertical="center"/>
      <protection hidden="1"/>
    </xf>
    <xf numFmtId="0" fontId="54" fillId="0" borderId="96" xfId="0" applyFont="1" applyBorder="1" applyAlignment="1">
      <alignment horizontal="center" vertical="center"/>
    </xf>
    <xf numFmtId="0" fontId="54" fillId="0" borderId="101" xfId="0" applyFont="1" applyBorder="1" applyAlignment="1">
      <alignment horizontal="center" vertical="center"/>
    </xf>
    <xf numFmtId="0" fontId="6" fillId="0" borderId="17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3" fillId="0" borderId="0" xfId="0" applyFont="1" applyBorder="1" applyProtection="1">
      <protection hidden="1"/>
    </xf>
    <xf numFmtId="0" fontId="23" fillId="0" borderId="171" xfId="0" applyFont="1" applyBorder="1" applyProtection="1">
      <protection hidden="1"/>
    </xf>
    <xf numFmtId="0" fontId="27" fillId="0" borderId="146" xfId="0" applyFont="1" applyBorder="1" applyAlignment="1" applyProtection="1">
      <alignment horizontal="left"/>
      <protection hidden="1"/>
    </xf>
    <xf numFmtId="0" fontId="33" fillId="0" borderId="145" xfId="0" applyFont="1" applyBorder="1" applyAlignment="1" applyProtection="1">
      <alignment horizontal="left"/>
      <protection hidden="1"/>
    </xf>
    <xf numFmtId="0" fontId="33" fillId="0" borderId="117" xfId="0" applyFont="1" applyBorder="1" applyAlignment="1" applyProtection="1">
      <alignment horizontal="left"/>
      <protection hidden="1"/>
    </xf>
    <xf numFmtId="0" fontId="5" fillId="0" borderId="179" xfId="0" applyFont="1" applyBorder="1" applyAlignment="1" applyProtection="1">
      <alignment horizontal="right" indent="1"/>
      <protection hidden="1"/>
    </xf>
    <xf numFmtId="0" fontId="4" fillId="5" borderId="95" xfId="0" applyFont="1" applyFill="1" applyBorder="1" applyAlignment="1" applyProtection="1">
      <alignment horizontal="center"/>
      <protection hidden="1"/>
    </xf>
    <xf numFmtId="0" fontId="4" fillId="5" borderId="61" xfId="0" applyFont="1" applyFill="1" applyBorder="1" applyAlignment="1" applyProtection="1">
      <alignment horizontal="center"/>
      <protection hidden="1"/>
    </xf>
    <xf numFmtId="0" fontId="4" fillId="5" borderId="165" xfId="0" applyFont="1" applyFill="1" applyBorder="1" applyAlignment="1" applyProtection="1">
      <alignment horizontal="center"/>
      <protection hidden="1"/>
    </xf>
    <xf numFmtId="0" fontId="14" fillId="5" borderId="73" xfId="0" applyFont="1" applyFill="1" applyBorder="1" applyAlignment="1" applyProtection="1">
      <alignment horizontal="center" vertical="center"/>
      <protection hidden="1"/>
    </xf>
    <xf numFmtId="0" fontId="0" fillId="0" borderId="73" xfId="0" applyBorder="1" applyProtection="1">
      <protection hidden="1"/>
    </xf>
    <xf numFmtId="0" fontId="27" fillId="0" borderId="146" xfId="0" applyFont="1" applyFill="1" applyBorder="1" applyAlignment="1" applyProtection="1">
      <alignment horizontal="center"/>
      <protection locked="0" hidden="1"/>
    </xf>
    <xf numFmtId="0" fontId="33" fillId="0" borderId="145" xfId="0" applyFont="1" applyFill="1" applyBorder="1" applyAlignment="1" applyProtection="1">
      <alignment horizontal="center"/>
      <protection locked="0" hidden="1"/>
    </xf>
    <xf numFmtId="0" fontId="33" fillId="0" borderId="117" xfId="0" applyFont="1" applyFill="1" applyBorder="1" applyAlignment="1" applyProtection="1">
      <alignment horizontal="center"/>
      <protection locked="0" hidden="1"/>
    </xf>
    <xf numFmtId="0" fontId="5" fillId="0" borderId="146" xfId="0" applyFont="1" applyBorder="1" applyAlignment="1" applyProtection="1">
      <alignment horizontal="center"/>
      <protection hidden="1"/>
    </xf>
    <xf numFmtId="0" fontId="5" fillId="0" borderId="117" xfId="0" applyFont="1" applyBorder="1" applyAlignment="1" applyProtection="1">
      <alignment horizontal="center"/>
      <protection hidden="1"/>
    </xf>
    <xf numFmtId="0" fontId="5" fillId="0" borderId="117" xfId="0" applyFont="1" applyFill="1" applyBorder="1" applyAlignment="1" applyProtection="1">
      <alignment horizontal="left" indent="1"/>
      <protection locked="0"/>
    </xf>
    <xf numFmtId="0" fontId="5" fillId="0" borderId="55" xfId="0" applyFont="1" applyFill="1" applyBorder="1" applyAlignment="1" applyProtection="1">
      <alignment horizontal="left" indent="1"/>
      <protection locked="0"/>
    </xf>
    <xf numFmtId="167" fontId="5" fillId="0" borderId="146" xfId="0" applyNumberFormat="1" applyFont="1" applyBorder="1" applyAlignment="1" applyProtection="1">
      <alignment horizontal="center"/>
      <protection hidden="1"/>
    </xf>
    <xf numFmtId="167" fontId="16" fillId="0" borderId="145" xfId="0" applyNumberFormat="1" applyFont="1" applyBorder="1" applyAlignment="1">
      <alignment horizontal="center"/>
    </xf>
    <xf numFmtId="0" fontId="3" fillId="5" borderId="83" xfId="0" applyFont="1" applyFill="1" applyBorder="1" applyAlignment="1" applyProtection="1">
      <alignment horizontal="center" vertical="center"/>
      <protection hidden="1"/>
    </xf>
    <xf numFmtId="0" fontId="50" fillId="5" borderId="83" xfId="0" applyFont="1" applyFill="1" applyBorder="1" applyAlignment="1" applyProtection="1">
      <protection hidden="1"/>
    </xf>
    <xf numFmtId="0" fontId="6" fillId="0" borderId="55" xfId="0" applyFont="1" applyBorder="1" applyAlignment="1" applyProtection="1">
      <alignment horizontal="center"/>
      <protection hidden="1"/>
    </xf>
    <xf numFmtId="0" fontId="23" fillId="0" borderId="55" xfId="0" applyFont="1" applyBorder="1" applyAlignment="1" applyProtection="1">
      <alignment horizontal="center"/>
      <protection hidden="1"/>
    </xf>
    <xf numFmtId="0" fontId="5" fillId="0" borderId="166" xfId="0" applyFont="1" applyBorder="1" applyAlignment="1" applyProtection="1">
      <alignment horizontal="center"/>
      <protection hidden="1"/>
    </xf>
    <xf numFmtId="0" fontId="5" fillId="0" borderId="167" xfId="0" applyFont="1" applyBorder="1" applyAlignment="1" applyProtection="1">
      <alignment horizontal="center"/>
      <protection hidden="1"/>
    </xf>
    <xf numFmtId="0" fontId="27" fillId="0" borderId="55" xfId="0" applyFont="1" applyBorder="1" applyAlignment="1" applyProtection="1">
      <alignment horizontal="left"/>
      <protection hidden="1"/>
    </xf>
    <xf numFmtId="0" fontId="33" fillId="0" borderId="55" xfId="0" applyFont="1" applyBorder="1" applyAlignment="1" applyProtection="1">
      <alignment horizontal="left"/>
      <protection hidden="1"/>
    </xf>
    <xf numFmtId="0" fontId="6" fillId="0" borderId="146" xfId="0" applyFont="1" applyBorder="1" applyAlignment="1" applyProtection="1">
      <alignment horizontal="center"/>
      <protection hidden="1"/>
    </xf>
    <xf numFmtId="0" fontId="23" fillId="0" borderId="117" xfId="0" applyFont="1" applyBorder="1" applyAlignment="1" applyProtection="1">
      <alignment horizontal="center"/>
      <protection hidden="1"/>
    </xf>
    <xf numFmtId="0" fontId="5" fillId="0" borderId="182" xfId="0" applyFont="1" applyBorder="1" applyAlignment="1" applyProtection="1">
      <alignment horizontal="right" indent="1"/>
      <protection hidden="1"/>
    </xf>
    <xf numFmtId="0" fontId="5" fillId="0" borderId="72" xfId="0" applyFont="1" applyBorder="1" applyAlignment="1" applyProtection="1">
      <alignment horizontal="left" vertical="center" indent="1"/>
      <protection hidden="1"/>
    </xf>
    <xf numFmtId="0" fontId="16" fillId="0" borderId="72" xfId="0" applyFont="1" applyBorder="1" applyAlignment="1" applyProtection="1">
      <alignment horizontal="left" indent="1"/>
      <protection hidden="1"/>
    </xf>
    <xf numFmtId="0" fontId="16" fillId="0" borderId="183" xfId="0" applyFont="1" applyBorder="1" applyAlignment="1" applyProtection="1">
      <alignment horizontal="left" indent="1"/>
      <protection hidden="1"/>
    </xf>
    <xf numFmtId="0" fontId="6" fillId="0" borderId="184" xfId="0" applyFont="1" applyBorder="1" applyAlignment="1">
      <alignment horizontal="left"/>
    </xf>
    <xf numFmtId="0" fontId="5" fillId="0" borderId="71" xfId="0" applyFont="1" applyBorder="1" applyAlignment="1" applyProtection="1">
      <alignment horizontal="left" vertical="center" indent="1"/>
      <protection hidden="1"/>
    </xf>
    <xf numFmtId="0" fontId="16" fillId="0" borderId="71" xfId="0" applyFont="1" applyBorder="1" applyAlignment="1" applyProtection="1">
      <alignment horizontal="left" indent="1"/>
      <protection hidden="1"/>
    </xf>
    <xf numFmtId="0" fontId="16" fillId="0" borderId="186" xfId="0" applyFont="1" applyBorder="1" applyAlignment="1" applyProtection="1">
      <alignment horizontal="left" indent="1"/>
      <protection hidden="1"/>
    </xf>
    <xf numFmtId="0" fontId="3" fillId="5" borderId="95" xfId="0" applyFont="1" applyFill="1" applyBorder="1" applyAlignment="1" applyProtection="1">
      <alignment horizontal="center" vertical="center"/>
      <protection hidden="1"/>
    </xf>
    <xf numFmtId="0" fontId="3" fillId="5" borderId="61" xfId="0" applyFont="1" applyFill="1" applyBorder="1" applyAlignment="1" applyProtection="1">
      <alignment horizontal="center" vertical="center"/>
      <protection hidden="1"/>
    </xf>
    <xf numFmtId="0" fontId="3" fillId="5" borderId="165" xfId="0" applyFont="1" applyFill="1" applyBorder="1" applyAlignment="1" applyProtection="1">
      <alignment horizontal="center" vertical="center"/>
      <protection hidden="1"/>
    </xf>
    <xf numFmtId="0" fontId="21" fillId="0" borderId="79" xfId="0" applyFont="1" applyBorder="1" applyAlignment="1" applyProtection="1">
      <alignment horizontal="center" vertical="center" wrapText="1"/>
      <protection hidden="1"/>
    </xf>
    <xf numFmtId="0" fontId="5" fillId="0" borderId="115" xfId="0" applyFont="1" applyBorder="1" applyAlignment="1" applyProtection="1">
      <alignment horizontal="right" indent="1"/>
      <protection hidden="1"/>
    </xf>
    <xf numFmtId="0" fontId="3" fillId="5" borderId="34" xfId="0" applyFont="1" applyFill="1" applyBorder="1" applyAlignment="1">
      <alignment horizontal="center"/>
    </xf>
    <xf numFmtId="0" fontId="0" fillId="0" borderId="34" xfId="0" applyBorder="1" applyAlignment="1">
      <alignment horizontal="center"/>
    </xf>
    <xf numFmtId="0" fontId="4" fillId="5" borderId="30" xfId="0" applyFont="1" applyFill="1" applyBorder="1" applyAlignment="1" applyProtection="1">
      <alignment horizontal="center"/>
      <protection hidden="1"/>
    </xf>
    <xf numFmtId="169" fontId="7" fillId="0" borderId="31" xfId="0" applyNumberFormat="1" applyFont="1" applyFill="1" applyBorder="1" applyAlignment="1" applyProtection="1">
      <alignment horizontal="left" indent="1"/>
      <protection hidden="1"/>
    </xf>
    <xf numFmtId="169" fontId="7" fillId="0" borderId="32" xfId="0" applyNumberFormat="1" applyFont="1" applyFill="1" applyBorder="1" applyAlignment="1" applyProtection="1">
      <alignment horizontal="left" indent="1"/>
      <protection hidden="1"/>
    </xf>
    <xf numFmtId="169" fontId="7" fillId="0" borderId="100" xfId="0" applyNumberFormat="1" applyFont="1" applyFill="1" applyBorder="1" applyAlignment="1" applyProtection="1">
      <alignment horizontal="left" indent="1"/>
      <protection hidden="1"/>
    </xf>
    <xf numFmtId="0" fontId="5" fillId="0" borderId="70" xfId="0" applyFont="1" applyBorder="1" applyAlignment="1" applyProtection="1">
      <alignment horizontal="left" vertical="center" indent="1"/>
      <protection hidden="1"/>
    </xf>
    <xf numFmtId="0" fontId="16" fillId="0" borderId="70" xfId="0" applyFont="1" applyBorder="1" applyAlignment="1" applyProtection="1">
      <alignment horizontal="left" vertical="center" indent="1"/>
      <protection hidden="1"/>
    </xf>
    <xf numFmtId="0" fontId="16" fillId="0" borderId="189" xfId="0" applyFont="1" applyBorder="1" applyAlignment="1" applyProtection="1">
      <alignment horizontal="left" vertical="center" indent="1"/>
      <protection hidden="1"/>
    </xf>
    <xf numFmtId="0" fontId="10" fillId="5" borderId="55" xfId="0" applyFont="1" applyFill="1" applyBorder="1" applyAlignment="1" applyProtection="1">
      <alignment horizontal="center" vertical="center"/>
      <protection hidden="1"/>
    </xf>
    <xf numFmtId="0" fontId="0" fillId="0" borderId="55" xfId="0" applyBorder="1" applyAlignment="1" applyProtection="1">
      <protection hidden="1"/>
    </xf>
    <xf numFmtId="0" fontId="10" fillId="5" borderId="146" xfId="0" applyFont="1" applyFill="1" applyBorder="1" applyAlignment="1" applyProtection="1">
      <alignment horizontal="center" vertical="center"/>
      <protection hidden="1"/>
    </xf>
    <xf numFmtId="0" fontId="0" fillId="0" borderId="145" xfId="0" applyBorder="1" applyProtection="1">
      <protection hidden="1"/>
    </xf>
    <xf numFmtId="0" fontId="0" fillId="0" borderId="117" xfId="0" applyBorder="1" applyProtection="1">
      <protection hidden="1"/>
    </xf>
    <xf numFmtId="0" fontId="10" fillId="5" borderId="117" xfId="0" applyFont="1" applyFill="1" applyBorder="1" applyAlignment="1" applyProtection="1">
      <alignment horizontal="center" vertical="center"/>
      <protection hidden="1"/>
    </xf>
    <xf numFmtId="0" fontId="0" fillId="0" borderId="177" xfId="0" applyBorder="1" applyAlignment="1" applyProtection="1">
      <alignment horizontal="center" vertical="center"/>
      <protection hidden="1"/>
    </xf>
    <xf numFmtId="0" fontId="7" fillId="0" borderId="178" xfId="0" applyFont="1" applyFill="1" applyBorder="1" applyAlignment="1" applyProtection="1">
      <alignment horizontal="center" vertical="center" wrapText="1"/>
      <protection locked="0" hidden="1"/>
    </xf>
    <xf numFmtId="0" fontId="23" fillId="0" borderId="178" xfId="0" applyFont="1" applyFill="1" applyBorder="1" applyProtection="1">
      <protection locked="0" hidden="1"/>
    </xf>
    <xf numFmtId="0" fontId="14" fillId="5" borderId="32" xfId="0" applyFont="1" applyFill="1" applyBorder="1" applyAlignment="1">
      <alignment horizontal="center"/>
    </xf>
    <xf numFmtId="0" fontId="6" fillId="0" borderId="61"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29" xfId="0" applyFont="1" applyBorder="1" applyAlignment="1" applyProtection="1">
      <alignment wrapText="1"/>
      <protection locked="0"/>
    </xf>
    <xf numFmtId="0" fontId="3" fillId="5" borderId="30" xfId="0" applyFont="1" applyFill="1" applyBorder="1" applyAlignment="1">
      <alignment horizontal="center"/>
    </xf>
    <xf numFmtId="0" fontId="3" fillId="5" borderId="31" xfId="0" applyFont="1" applyFill="1" applyBorder="1" applyAlignment="1">
      <alignment horizontal="center"/>
    </xf>
    <xf numFmtId="0" fontId="6" fillId="0" borderId="190" xfId="0" applyFont="1" applyBorder="1" applyAlignment="1" applyProtection="1">
      <protection locked="0"/>
    </xf>
    <xf numFmtId="0" fontId="6" fillId="0" borderId="191" xfId="0" applyFont="1" applyBorder="1" applyAlignment="1" applyProtection="1">
      <protection locked="0"/>
    </xf>
    <xf numFmtId="0" fontId="6" fillId="0" borderId="192" xfId="0" applyFont="1" applyBorder="1" applyAlignment="1" applyProtection="1">
      <protection locked="0"/>
    </xf>
    <xf numFmtId="0" fontId="6" fillId="0" borderId="170" xfId="0" applyFont="1" applyBorder="1" applyAlignment="1" applyProtection="1">
      <protection locked="0"/>
    </xf>
    <xf numFmtId="0" fontId="6" fillId="0" borderId="193" xfId="0" applyFont="1" applyBorder="1" applyAlignment="1" applyProtection="1">
      <protection locked="0"/>
    </xf>
    <xf numFmtId="0" fontId="6" fillId="0" borderId="194" xfId="0" applyFont="1" applyBorder="1" applyAlignment="1" applyProtection="1">
      <protection locked="0"/>
    </xf>
    <xf numFmtId="0" fontId="6" fillId="0" borderId="195" xfId="0" applyFont="1" applyBorder="1" applyAlignment="1" applyProtection="1">
      <protection locked="0"/>
    </xf>
    <xf numFmtId="0" fontId="6" fillId="0" borderId="171" xfId="0" applyFont="1" applyBorder="1" applyAlignment="1" applyProtection="1">
      <protection locked="0"/>
    </xf>
    <xf numFmtId="0" fontId="6" fillId="0" borderId="175" xfId="0" applyFont="1" applyBorder="1" applyAlignment="1" applyProtection="1">
      <protection locked="0"/>
    </xf>
    <xf numFmtId="0" fontId="3" fillId="5" borderId="32" xfId="0" applyFont="1" applyFill="1" applyBorder="1" applyAlignment="1">
      <alignment horizontal="center"/>
    </xf>
    <xf numFmtId="0" fontId="6" fillId="0" borderId="32" xfId="0" applyFont="1" applyBorder="1" applyAlignment="1">
      <alignment horizontal="center"/>
    </xf>
    <xf numFmtId="0" fontId="6" fillId="0" borderId="61" xfId="0" applyFont="1" applyBorder="1" applyAlignment="1" applyProtection="1">
      <protection locked="0"/>
    </xf>
    <xf numFmtId="0" fontId="6" fillId="0" borderId="0" xfId="0" applyFont="1" applyBorder="1" applyAlignment="1" applyProtection="1">
      <protection locked="0"/>
    </xf>
    <xf numFmtId="0" fontId="6" fillId="0" borderId="29" xfId="0" applyFont="1" applyBorder="1" applyAlignment="1" applyProtection="1">
      <protection locked="0"/>
    </xf>
    <xf numFmtId="0" fontId="13" fillId="0" borderId="61" xfId="0" applyFont="1" applyFill="1" applyBorder="1" applyAlignment="1" applyProtection="1">
      <alignment horizontal="center" wrapText="1"/>
      <protection locked="0"/>
    </xf>
    <xf numFmtId="0" fontId="6" fillId="0" borderId="61" xfId="0" applyFont="1" applyFill="1" applyBorder="1" applyAlignment="1" applyProtection="1">
      <alignment wrapText="1"/>
      <protection locked="0"/>
    </xf>
    <xf numFmtId="0" fontId="6" fillId="0" borderId="0" xfId="0" applyFont="1" applyFill="1" applyAlignment="1" applyProtection="1">
      <alignment wrapText="1"/>
      <protection locked="0"/>
    </xf>
    <xf numFmtId="0" fontId="6" fillId="0" borderId="29" xfId="0" applyFont="1" applyFill="1" applyBorder="1" applyAlignment="1" applyProtection="1">
      <alignment wrapText="1"/>
      <protection locked="0"/>
    </xf>
    <xf numFmtId="0" fontId="6" fillId="0" borderId="145" xfId="0" applyFont="1" applyBorder="1" applyAlignment="1" applyProtection="1">
      <protection locked="0"/>
    </xf>
    <xf numFmtId="0" fontId="6" fillId="0" borderId="79" xfId="0" applyFont="1" applyBorder="1" applyAlignment="1" applyProtection="1">
      <protection locked="0"/>
    </xf>
    <xf numFmtId="0" fontId="14" fillId="5" borderId="29" xfId="0" applyFont="1" applyFill="1" applyBorder="1" applyAlignment="1">
      <alignment horizontal="center"/>
    </xf>
    <xf numFmtId="0" fontId="6" fillId="0" borderId="83" xfId="0" applyFont="1" applyBorder="1" applyAlignment="1" applyProtection="1">
      <protection locked="0"/>
    </xf>
    <xf numFmtId="0" fontId="6" fillId="0" borderId="168" xfId="0" applyFont="1" applyBorder="1" applyAlignment="1" applyProtection="1">
      <protection locked="0"/>
    </xf>
    <xf numFmtId="0" fontId="6" fillId="0" borderId="96" xfId="0" applyFont="1" applyBorder="1" applyAlignment="1" applyProtection="1">
      <protection locked="0"/>
    </xf>
    <xf numFmtId="0" fontId="6" fillId="0" borderId="196" xfId="0" applyFont="1" applyBorder="1" applyAlignment="1" applyProtection="1">
      <protection locked="0"/>
    </xf>
    <xf numFmtId="0" fontId="6" fillId="0" borderId="97" xfId="0" applyFont="1" applyBorder="1" applyAlignment="1" applyProtection="1">
      <protection locked="0"/>
    </xf>
    <xf numFmtId="0" fontId="6" fillId="0" borderId="29" xfId="0" applyFont="1" applyBorder="1" applyAlignment="1">
      <alignment horizontal="center"/>
    </xf>
    <xf numFmtId="0" fontId="18" fillId="3" borderId="1" xfId="0" applyFont="1" applyFill="1" applyBorder="1" applyAlignment="1">
      <alignment horizontal="center"/>
    </xf>
    <xf numFmtId="0" fontId="18" fillId="3" borderId="3" xfId="0" applyFont="1" applyFill="1" applyBorder="1" applyAlignment="1"/>
    <xf numFmtId="0" fontId="0" fillId="0" borderId="1" xfId="0" applyBorder="1" applyAlignment="1"/>
    <xf numFmtId="0" fontId="0" fillId="0" borderId="2" xfId="0" applyBorder="1" applyAlignment="1"/>
    <xf numFmtId="0" fontId="18" fillId="3" borderId="33" xfId="0" applyFont="1" applyFill="1" applyBorder="1" applyAlignment="1">
      <alignment horizontal="center"/>
    </xf>
    <xf numFmtId="0" fontId="18" fillId="3" borderId="50" xfId="0" applyFont="1" applyFill="1" applyBorder="1" applyAlignment="1">
      <alignment horizontal="center"/>
    </xf>
    <xf numFmtId="0" fontId="39" fillId="3" borderId="50" xfId="0" applyFont="1" applyFill="1" applyBorder="1" applyAlignment="1">
      <alignment horizontal="center"/>
    </xf>
    <xf numFmtId="0" fontId="18" fillId="3" borderId="33" xfId="0" applyFont="1" applyFill="1" applyBorder="1" applyAlignment="1"/>
    <xf numFmtId="0" fontId="20" fillId="0" borderId="50" xfId="0" applyFont="1" applyBorder="1" applyAlignment="1"/>
    <xf numFmtId="0" fontId="0" fillId="0" borderId="52" xfId="0" applyBorder="1" applyAlignment="1"/>
  </cellXfs>
  <cellStyles count="1">
    <cellStyle name="Normal" xfId="0" builtinId="0"/>
  </cellStyles>
  <dxfs count="23">
    <dxf>
      <fill>
        <patternFill>
          <bgColor indexed="43"/>
        </patternFill>
      </fill>
    </dxf>
    <dxf>
      <font>
        <condense val="0"/>
        <extend val="0"/>
        <color indexed="9"/>
      </font>
    </dxf>
    <dxf>
      <font>
        <b/>
        <i val="0"/>
        <condense val="0"/>
        <extend val="0"/>
      </font>
      <fill>
        <patternFill>
          <bgColor indexed="11"/>
        </patternFill>
      </fill>
    </dxf>
    <dxf>
      <font>
        <b/>
        <i val="0"/>
        <condense val="0"/>
        <extend val="0"/>
      </font>
      <fill>
        <patternFill>
          <bgColor indexed="10"/>
        </patternFill>
      </fill>
    </dxf>
    <dxf>
      <fill>
        <patternFill>
          <bgColor indexed="43"/>
        </patternFill>
      </fill>
    </dxf>
    <dxf>
      <fill>
        <patternFill>
          <bgColor indexed="13"/>
        </patternFill>
      </fill>
    </dxf>
    <dxf>
      <fill>
        <patternFill>
          <bgColor indexed="60"/>
        </patternFill>
      </fill>
    </dxf>
    <dxf>
      <fill>
        <patternFill>
          <bgColor indexed="60"/>
        </patternFill>
      </fill>
    </dxf>
    <dxf>
      <fill>
        <patternFill>
          <bgColor indexed="42"/>
        </patternFill>
      </fill>
    </dxf>
    <dxf>
      <font>
        <b/>
        <i val="0"/>
        <condense val="0"/>
        <extend val="0"/>
      </font>
      <fill>
        <patternFill>
          <bgColor indexed="11"/>
        </patternFill>
      </fill>
    </dxf>
    <dxf>
      <font>
        <b/>
        <i val="0"/>
        <condense val="0"/>
        <extend val="0"/>
      </font>
      <fill>
        <patternFill>
          <bgColor indexed="10"/>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43"/>
        </patternFill>
      </fill>
    </dxf>
    <dxf>
      <fill>
        <patternFill>
          <bgColor indexed="43"/>
        </patternFill>
      </fill>
    </dxf>
    <dxf>
      <fill>
        <patternFill>
          <bgColor indexed="13"/>
        </patternFill>
      </fill>
    </dxf>
    <dxf>
      <fill>
        <patternFill>
          <bgColor indexed="60"/>
        </patternFill>
      </fill>
    </dxf>
    <dxf>
      <fill>
        <patternFill>
          <bgColor indexed="6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AEAEA"/>
      <rgbColor rgb="00003399"/>
      <rgbColor rgb="00666699"/>
      <rgbColor rgb="00969696"/>
      <rgbColor rgb="00003366"/>
      <rgbColor rgb="00339966"/>
      <rgbColor rgb="00003300"/>
      <rgbColor rgb="00333300"/>
      <rgbColor rgb="00CCCCFF"/>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5"/>
  <dimension ref="A1:F53"/>
  <sheetViews>
    <sheetView workbookViewId="0">
      <selection activeCell="C7" sqref="C7"/>
    </sheetView>
  </sheetViews>
  <sheetFormatPr defaultColWidth="0" defaultRowHeight="12.75" zeroHeight="1"/>
  <cols>
    <col min="1" max="1" width="2.7109375" customWidth="1"/>
    <col min="2" max="2" width="4" customWidth="1"/>
    <col min="3" max="3" width="3.42578125" customWidth="1"/>
    <col min="4" max="4" width="25.85546875" customWidth="1"/>
    <col min="5" max="5" width="55.7109375" customWidth="1"/>
    <col min="6" max="6" width="2.7109375" customWidth="1"/>
  </cols>
  <sheetData>
    <row r="1" spans="1:6" ht="21">
      <c r="A1" s="1"/>
      <c r="B1" s="440" t="s">
        <v>523</v>
      </c>
      <c r="C1" s="441"/>
      <c r="D1" s="441"/>
      <c r="E1" s="445" t="s">
        <v>566</v>
      </c>
      <c r="F1" s="383"/>
    </row>
    <row r="2" spans="1:6" ht="20.25" customHeight="1">
      <c r="A2" s="1"/>
      <c r="B2" s="441"/>
      <c r="C2" s="441"/>
      <c r="D2" s="441"/>
      <c r="E2" s="445"/>
      <c r="F2" s="383"/>
    </row>
    <row r="3" spans="1:6" ht="21">
      <c r="A3" s="1"/>
      <c r="B3" s="441"/>
      <c r="C3" s="441"/>
      <c r="D3" s="441"/>
      <c r="E3" s="445"/>
      <c r="F3" s="383"/>
    </row>
    <row r="4" spans="1:6" ht="21">
      <c r="A4" s="1"/>
      <c r="B4" s="441"/>
      <c r="C4" s="441"/>
      <c r="D4" s="441"/>
      <c r="E4" s="446"/>
      <c r="F4" s="383"/>
    </row>
    <row r="5" spans="1:6" ht="21" customHeight="1">
      <c r="A5" s="1"/>
      <c r="B5" s="442" t="s">
        <v>567</v>
      </c>
      <c r="C5" s="443"/>
      <c r="D5" s="443"/>
      <c r="E5" s="443"/>
      <c r="F5" s="383"/>
    </row>
    <row r="6" spans="1:6" ht="21">
      <c r="A6" s="1"/>
      <c r="B6" s="443"/>
      <c r="C6" s="443"/>
      <c r="D6" s="443"/>
      <c r="E6" s="443"/>
      <c r="F6" s="383"/>
    </row>
    <row r="7" spans="1:6" ht="3.95" customHeight="1">
      <c r="A7" s="1"/>
      <c r="B7" s="384"/>
      <c r="C7" s="384"/>
      <c r="D7" s="384"/>
      <c r="E7" s="384"/>
      <c r="F7" s="383"/>
    </row>
    <row r="8" spans="1:6" ht="21">
      <c r="A8" s="1"/>
      <c r="B8" s="444" t="s">
        <v>568</v>
      </c>
      <c r="C8" s="444"/>
      <c r="D8" s="444"/>
      <c r="E8" s="444"/>
      <c r="F8" s="383"/>
    </row>
    <row r="9" spans="1:6" ht="3.95" customHeight="1">
      <c r="A9" s="1"/>
      <c r="B9" s="285"/>
      <c r="C9" s="285"/>
      <c r="D9" s="1"/>
      <c r="E9" s="1"/>
      <c r="F9" s="1"/>
    </row>
    <row r="10" spans="1:6" ht="16.5">
      <c r="A10" s="1"/>
      <c r="B10" s="389" t="s">
        <v>520</v>
      </c>
      <c r="C10" s="438" t="s">
        <v>521</v>
      </c>
      <c r="D10" s="439"/>
      <c r="E10" s="439"/>
      <c r="F10" s="1"/>
    </row>
    <row r="11" spans="1:6" ht="30" customHeight="1">
      <c r="A11" s="1"/>
      <c r="B11" s="285"/>
      <c r="C11" s="385" t="s">
        <v>529</v>
      </c>
      <c r="D11" s="437" t="s">
        <v>573</v>
      </c>
      <c r="E11" s="437"/>
      <c r="F11" s="386"/>
    </row>
    <row r="12" spans="1:6" ht="45" customHeight="1">
      <c r="A12" s="1"/>
      <c r="B12" s="285"/>
      <c r="C12" s="385" t="s">
        <v>530</v>
      </c>
      <c r="D12" s="437" t="s">
        <v>534</v>
      </c>
      <c r="E12" s="437"/>
      <c r="F12" s="386"/>
    </row>
    <row r="13" spans="1:6" ht="30" customHeight="1">
      <c r="A13" s="1"/>
      <c r="B13" s="285"/>
      <c r="C13" s="385" t="s">
        <v>531</v>
      </c>
      <c r="D13" s="437" t="s">
        <v>535</v>
      </c>
      <c r="E13" s="437"/>
      <c r="F13" s="386"/>
    </row>
    <row r="14" spans="1:6" ht="30" customHeight="1">
      <c r="A14" s="1"/>
      <c r="B14" s="285"/>
      <c r="C14" s="385" t="s">
        <v>532</v>
      </c>
      <c r="D14" s="437" t="s">
        <v>572</v>
      </c>
      <c r="E14" s="437"/>
      <c r="F14" s="386"/>
    </row>
    <row r="15" spans="1:6" ht="9.9499999999999993" customHeight="1">
      <c r="A15" s="1"/>
      <c r="B15" s="285"/>
      <c r="C15" s="448"/>
      <c r="D15" s="449"/>
      <c r="E15" s="449"/>
      <c r="F15" s="449"/>
    </row>
    <row r="16" spans="1:6" ht="16.5">
      <c r="A16" s="1"/>
      <c r="B16" s="389" t="s">
        <v>536</v>
      </c>
      <c r="C16" s="438" t="s">
        <v>537</v>
      </c>
      <c r="D16" s="439"/>
      <c r="E16" s="439"/>
      <c r="F16" s="1"/>
    </row>
    <row r="17" spans="1:6" ht="15">
      <c r="A17" s="1"/>
      <c r="B17" s="285"/>
      <c r="C17" s="387" t="s">
        <v>522</v>
      </c>
      <c r="D17" s="437" t="s">
        <v>527</v>
      </c>
      <c r="E17" s="437"/>
      <c r="F17" s="1"/>
    </row>
    <row r="18" spans="1:6" ht="30" customHeight="1">
      <c r="A18" s="1"/>
      <c r="B18" s="285"/>
      <c r="C18" s="387" t="s">
        <v>528</v>
      </c>
      <c r="D18" s="437" t="s">
        <v>538</v>
      </c>
      <c r="E18" s="437"/>
      <c r="F18" s="1"/>
    </row>
    <row r="19" spans="1:6" ht="9.9499999999999993" customHeight="1">
      <c r="A19" s="1"/>
      <c r="B19" s="285"/>
      <c r="C19" s="448"/>
      <c r="D19" s="449"/>
      <c r="E19" s="449"/>
      <c r="F19" s="449"/>
    </row>
    <row r="20" spans="1:6" ht="16.5">
      <c r="A20" s="1"/>
      <c r="B20" s="389" t="s">
        <v>539</v>
      </c>
      <c r="C20" s="438" t="s">
        <v>540</v>
      </c>
      <c r="D20" s="439"/>
      <c r="E20" s="439"/>
      <c r="F20" s="1"/>
    </row>
    <row r="21" spans="1:6" ht="45" customHeight="1">
      <c r="A21" s="1"/>
      <c r="B21" s="285"/>
      <c r="C21" s="387" t="s">
        <v>529</v>
      </c>
      <c r="D21" s="437" t="s">
        <v>574</v>
      </c>
      <c r="E21" s="437"/>
      <c r="F21" s="1"/>
    </row>
    <row r="22" spans="1:6" ht="45" customHeight="1">
      <c r="A22" s="1"/>
      <c r="B22" s="285"/>
      <c r="C22" s="387" t="s">
        <v>530</v>
      </c>
      <c r="D22" s="437" t="s">
        <v>575</v>
      </c>
      <c r="E22" s="437"/>
      <c r="F22" s="1"/>
    </row>
    <row r="23" spans="1:6" ht="30" customHeight="1">
      <c r="A23" s="1"/>
      <c r="B23" s="285"/>
      <c r="C23" s="387" t="s">
        <v>541</v>
      </c>
      <c r="D23" s="437" t="s">
        <v>542</v>
      </c>
      <c r="E23" s="437"/>
      <c r="F23" s="1"/>
    </row>
    <row r="24" spans="1:6" ht="9.9499999999999993" customHeight="1">
      <c r="A24" s="1"/>
      <c r="B24" s="285"/>
      <c r="C24" s="448"/>
      <c r="D24" s="449"/>
      <c r="E24" s="449"/>
      <c r="F24" s="449"/>
    </row>
    <row r="25" spans="1:6" ht="16.5">
      <c r="A25" s="1"/>
      <c r="B25" s="389" t="s">
        <v>543</v>
      </c>
      <c r="C25" s="438" t="s">
        <v>545</v>
      </c>
      <c r="D25" s="439"/>
      <c r="E25" s="439"/>
      <c r="F25" s="1"/>
    </row>
    <row r="26" spans="1:6" ht="30" customHeight="1">
      <c r="A26" s="1"/>
      <c r="B26" s="285"/>
      <c r="C26" s="387" t="s">
        <v>529</v>
      </c>
      <c r="D26" s="437" t="s">
        <v>544</v>
      </c>
      <c r="E26" s="437"/>
      <c r="F26" s="1"/>
    </row>
    <row r="27" spans="1:6" ht="45" customHeight="1">
      <c r="A27" s="1"/>
      <c r="B27" s="285"/>
      <c r="C27" s="387" t="s">
        <v>530</v>
      </c>
      <c r="D27" s="437" t="s">
        <v>546</v>
      </c>
      <c r="E27" s="437"/>
      <c r="F27" s="1"/>
    </row>
    <row r="28" spans="1:6" ht="45" customHeight="1">
      <c r="A28" s="1"/>
      <c r="B28" s="285"/>
      <c r="C28" s="387" t="s">
        <v>531</v>
      </c>
      <c r="D28" s="437" t="s">
        <v>547</v>
      </c>
      <c r="E28" s="437"/>
      <c r="F28" s="1"/>
    </row>
    <row r="29" spans="1:6" ht="45" customHeight="1">
      <c r="A29" s="1"/>
      <c r="B29" s="285"/>
      <c r="C29" s="387" t="s">
        <v>532</v>
      </c>
      <c r="D29" s="437" t="s">
        <v>548</v>
      </c>
      <c r="E29" s="437"/>
      <c r="F29" s="1"/>
    </row>
    <row r="30" spans="1:6" ht="30" customHeight="1">
      <c r="A30" s="1"/>
      <c r="B30" s="285"/>
      <c r="C30" s="387" t="s">
        <v>533</v>
      </c>
      <c r="D30" s="437" t="s">
        <v>524</v>
      </c>
      <c r="E30" s="437"/>
      <c r="F30" s="1"/>
    </row>
    <row r="31" spans="1:6" ht="60" customHeight="1">
      <c r="A31" s="1"/>
      <c r="B31" s="285"/>
      <c r="C31" s="387" t="s">
        <v>557</v>
      </c>
      <c r="D31" s="437" t="s">
        <v>553</v>
      </c>
      <c r="E31" s="437"/>
      <c r="F31" s="1"/>
    </row>
    <row r="32" spans="1:6" ht="9.9499999999999993" customHeight="1">
      <c r="A32" s="1"/>
      <c r="B32" s="285"/>
      <c r="C32" s="448"/>
      <c r="D32" s="449"/>
      <c r="E32" s="449"/>
      <c r="F32" s="449"/>
    </row>
    <row r="33" spans="1:6" ht="16.5">
      <c r="A33" s="1"/>
      <c r="B33" s="389" t="s">
        <v>549</v>
      </c>
      <c r="C33" s="438" t="s">
        <v>554</v>
      </c>
      <c r="D33" s="439"/>
      <c r="E33" s="439"/>
      <c r="F33" s="1"/>
    </row>
    <row r="34" spans="1:6" ht="60" customHeight="1">
      <c r="A34" s="1"/>
      <c r="B34" s="285"/>
      <c r="C34" s="387" t="s">
        <v>529</v>
      </c>
      <c r="D34" s="437" t="s">
        <v>525</v>
      </c>
      <c r="E34" s="437"/>
      <c r="F34" s="1"/>
    </row>
    <row r="35" spans="1:6" ht="45" customHeight="1">
      <c r="A35" s="1"/>
      <c r="B35" s="285"/>
      <c r="C35" s="387" t="s">
        <v>530</v>
      </c>
      <c r="D35" s="437" t="s">
        <v>555</v>
      </c>
      <c r="E35" s="437"/>
      <c r="F35" s="1"/>
    </row>
    <row r="36" spans="1:6" ht="30" customHeight="1">
      <c r="A36" s="1"/>
      <c r="B36" s="388"/>
      <c r="C36" s="387" t="s">
        <v>531</v>
      </c>
      <c r="D36" s="437" t="s">
        <v>556</v>
      </c>
      <c r="E36" s="437"/>
      <c r="F36" s="1"/>
    </row>
    <row r="37" spans="1:6" ht="9.9499999999999993" customHeight="1">
      <c r="A37" s="1"/>
      <c r="B37" s="388"/>
      <c r="C37" s="448"/>
      <c r="D37" s="449"/>
      <c r="E37" s="449"/>
      <c r="F37" s="449"/>
    </row>
    <row r="38" spans="1:6" ht="16.5">
      <c r="A38" s="1"/>
      <c r="B38" s="389" t="s">
        <v>550</v>
      </c>
      <c r="C38" s="438" t="s">
        <v>576</v>
      </c>
      <c r="D38" s="439"/>
      <c r="E38" s="439"/>
      <c r="F38" s="1"/>
    </row>
    <row r="39" spans="1:6" ht="45" customHeight="1">
      <c r="A39" s="1"/>
      <c r="B39" s="1"/>
      <c r="C39" s="387" t="s">
        <v>529</v>
      </c>
      <c r="D39" s="437" t="s">
        <v>577</v>
      </c>
      <c r="E39" s="437"/>
      <c r="F39" s="1"/>
    </row>
    <row r="40" spans="1:6" ht="45" customHeight="1">
      <c r="A40" s="1"/>
      <c r="B40" s="285"/>
      <c r="C40" s="387" t="s">
        <v>528</v>
      </c>
      <c r="D40" s="437" t="s">
        <v>565</v>
      </c>
      <c r="E40" s="437"/>
      <c r="F40" s="1"/>
    </row>
    <row r="41" spans="1:6" ht="30" customHeight="1">
      <c r="A41" s="1"/>
      <c r="B41" s="285"/>
      <c r="C41" s="387" t="s">
        <v>531</v>
      </c>
      <c r="D41" s="437" t="s">
        <v>558</v>
      </c>
      <c r="E41" s="437"/>
      <c r="F41" s="1"/>
    </row>
    <row r="42" spans="1:6" ht="30" customHeight="1">
      <c r="A42" s="1"/>
      <c r="B42" s="285"/>
      <c r="C42" s="387" t="s">
        <v>532</v>
      </c>
      <c r="D42" s="437" t="s">
        <v>559</v>
      </c>
      <c r="E42" s="437"/>
      <c r="F42" s="1"/>
    </row>
    <row r="43" spans="1:6" ht="45" customHeight="1">
      <c r="A43" s="1"/>
      <c r="B43" s="285"/>
      <c r="C43" s="387" t="s">
        <v>533</v>
      </c>
      <c r="D43" s="437" t="s">
        <v>578</v>
      </c>
      <c r="E43" s="437"/>
      <c r="F43" s="1"/>
    </row>
    <row r="44" spans="1:6" ht="9.9499999999999993" customHeight="1">
      <c r="A44" s="1"/>
      <c r="B44" s="285"/>
      <c r="C44" s="448"/>
      <c r="D44" s="449"/>
      <c r="E44" s="449"/>
      <c r="F44" s="449"/>
    </row>
    <row r="45" spans="1:6" ht="16.5">
      <c r="A45" s="1"/>
      <c r="B45" s="389" t="s">
        <v>560</v>
      </c>
      <c r="C45" s="438" t="s">
        <v>561</v>
      </c>
      <c r="D45" s="439"/>
      <c r="E45" s="439"/>
      <c r="F45" s="1"/>
    </row>
    <row r="46" spans="1:6" ht="30" customHeight="1">
      <c r="A46" s="1"/>
      <c r="B46" s="285"/>
      <c r="C46" s="387" t="s">
        <v>529</v>
      </c>
      <c r="D46" s="437" t="s">
        <v>526</v>
      </c>
      <c r="E46" s="437"/>
      <c r="F46" s="1"/>
    </row>
    <row r="47" spans="1:6" ht="45" customHeight="1">
      <c r="A47" s="1"/>
      <c r="B47" s="285"/>
      <c r="C47" s="387" t="s">
        <v>528</v>
      </c>
      <c r="D47" s="437" t="s">
        <v>569</v>
      </c>
      <c r="E47" s="437"/>
      <c r="F47" s="1"/>
    </row>
    <row r="48" spans="1:6" ht="30" customHeight="1">
      <c r="A48" s="1"/>
      <c r="B48" s="285"/>
      <c r="C48" s="387" t="s">
        <v>531</v>
      </c>
      <c r="D48" s="437" t="s">
        <v>579</v>
      </c>
      <c r="E48" s="437"/>
      <c r="F48" s="1"/>
    </row>
    <row r="49" spans="1:6" ht="30" customHeight="1">
      <c r="A49" s="1"/>
      <c r="B49" s="285"/>
      <c r="C49" s="387" t="s">
        <v>532</v>
      </c>
      <c r="D49" s="437" t="s">
        <v>562</v>
      </c>
      <c r="E49" s="437"/>
      <c r="F49" s="1"/>
    </row>
    <row r="50" spans="1:6" ht="30" customHeight="1">
      <c r="A50" s="1"/>
      <c r="B50" s="285"/>
      <c r="C50" s="387" t="s">
        <v>533</v>
      </c>
      <c r="D50" s="437" t="s">
        <v>563</v>
      </c>
      <c r="E50" s="437"/>
      <c r="F50" s="1"/>
    </row>
    <row r="51" spans="1:6" ht="30" customHeight="1">
      <c r="A51" s="1"/>
      <c r="B51" s="285"/>
      <c r="C51" s="387" t="s">
        <v>557</v>
      </c>
      <c r="D51" s="437" t="s">
        <v>570</v>
      </c>
      <c r="E51" s="437"/>
      <c r="F51" s="1"/>
    </row>
    <row r="52" spans="1:6" ht="30" customHeight="1">
      <c r="A52" s="1"/>
      <c r="B52" s="285"/>
      <c r="C52" s="387" t="s">
        <v>564</v>
      </c>
      <c r="D52" s="437" t="s">
        <v>571</v>
      </c>
      <c r="E52" s="437"/>
      <c r="F52" s="1"/>
    </row>
    <row r="53" spans="1:6" ht="13.5">
      <c r="A53" s="1"/>
      <c r="B53" s="1"/>
      <c r="C53" s="447"/>
      <c r="D53" s="447"/>
      <c r="E53" s="447"/>
      <c r="F53" s="1"/>
    </row>
  </sheetData>
  <sheetProtection password="E966" sheet="1" objects="1" scenarios="1"/>
  <mergeCells count="48">
    <mergeCell ref="D14:E14"/>
    <mergeCell ref="D21:E21"/>
    <mergeCell ref="D22:E22"/>
    <mergeCell ref="D17:E17"/>
    <mergeCell ref="D18:E18"/>
    <mergeCell ref="D12:E12"/>
    <mergeCell ref="D11:E11"/>
    <mergeCell ref="C53:E53"/>
    <mergeCell ref="C44:F44"/>
    <mergeCell ref="C37:F37"/>
    <mergeCell ref="C32:F32"/>
    <mergeCell ref="C24:F24"/>
    <mergeCell ref="D26:E26"/>
    <mergeCell ref="D27:E27"/>
    <mergeCell ref="D28:E28"/>
    <mergeCell ref="D29:E29"/>
    <mergeCell ref="C19:F19"/>
    <mergeCell ref="C15:F15"/>
    <mergeCell ref="D13:E13"/>
    <mergeCell ref="D30:E30"/>
    <mergeCell ref="D49:E49"/>
    <mergeCell ref="B1:D4"/>
    <mergeCell ref="B5:E6"/>
    <mergeCell ref="B8:E8"/>
    <mergeCell ref="D39:E39"/>
    <mergeCell ref="E1:E4"/>
    <mergeCell ref="D36:E36"/>
    <mergeCell ref="C38:E38"/>
    <mergeCell ref="C25:E25"/>
    <mergeCell ref="D23:E23"/>
    <mergeCell ref="D31:E31"/>
    <mergeCell ref="D34:E34"/>
    <mergeCell ref="D35:E35"/>
    <mergeCell ref="C33:E33"/>
    <mergeCell ref="C10:E10"/>
    <mergeCell ref="C16:E16"/>
    <mergeCell ref="C20:E20"/>
    <mergeCell ref="D40:E40"/>
    <mergeCell ref="D41:E41"/>
    <mergeCell ref="D50:E50"/>
    <mergeCell ref="D51:E51"/>
    <mergeCell ref="D52:E52"/>
    <mergeCell ref="D42:E42"/>
    <mergeCell ref="D43:E43"/>
    <mergeCell ref="D46:E46"/>
    <mergeCell ref="D47:E47"/>
    <mergeCell ref="D48:E48"/>
    <mergeCell ref="C45:E45"/>
  </mergeCells>
  <phoneticPr fontId="1" type="noConversion"/>
  <pageMargins left="0.43307086614173229" right="0.43307086614173229" top="0.70866141732283472" bottom="1.0236220472440944" header="0.51181102362204722" footer="0.43307086614173229"/>
  <pageSetup paperSize="9" orientation="portrait" horizontalDpi="4294967293" verticalDpi="0" r:id="rId1"/>
  <headerFooter alignWithMargins="0">
    <oddFooter xml:space="preserve">&amp;C&amp;8A Song of Ice &amp; Fire Roleplaying © 2009 Green Ronin Publishing. 
A Song of Ice &amp; Fire © 1996-2009 George R. R. Martin 
Spreadsheet © PJDack 2009. Permission is granted to freely distribute, subject to prior copyrights. </oddFooter>
  </headerFooter>
</worksheet>
</file>

<file path=xl/worksheets/sheet2.xml><?xml version="1.0" encoding="utf-8"?>
<worksheet xmlns="http://schemas.openxmlformats.org/spreadsheetml/2006/main" xmlns:r="http://schemas.openxmlformats.org/officeDocument/2006/relationships">
  <sheetPr codeName="Sheet1"/>
  <dimension ref="A1:BB64"/>
  <sheetViews>
    <sheetView showGridLines="0" topLeftCell="A31" zoomScale="120" workbookViewId="0">
      <selection activeCell="D44" sqref="D44:Q44"/>
    </sheetView>
  </sheetViews>
  <sheetFormatPr defaultColWidth="0" defaultRowHeight="13.5" zeroHeight="1"/>
  <cols>
    <col min="1" max="1" width="0.85546875" style="3" customWidth="1"/>
    <col min="2" max="2" width="8.28515625" style="3" customWidth="1"/>
    <col min="3" max="3" width="0.5703125" style="3" customWidth="1"/>
    <col min="4" max="4" width="2.7109375" style="3" customWidth="1"/>
    <col min="5" max="5" width="0.85546875" style="3" customWidth="1"/>
    <col min="6" max="6" width="4.28515625" style="3" customWidth="1"/>
    <col min="7" max="7" width="0.85546875" style="3" customWidth="1"/>
    <col min="8" max="8" width="3.28515625" style="3" customWidth="1"/>
    <col min="9" max="9" width="0.28515625" style="3" customWidth="1"/>
    <col min="10" max="10" width="1.7109375" style="3" customWidth="1"/>
    <col min="11" max="11" width="0.5703125" style="3" customWidth="1"/>
    <col min="12" max="12" width="3.28515625" style="3" customWidth="1"/>
    <col min="13" max="13" width="0.28515625" style="3" customWidth="1"/>
    <col min="14" max="14" width="4.28515625" style="3" customWidth="1"/>
    <col min="15" max="15" width="3.7109375" style="3" customWidth="1"/>
    <col min="16" max="16" width="8.28515625" style="3" customWidth="1"/>
    <col min="17" max="17" width="3.7109375" style="3" customWidth="1"/>
    <col min="18" max="18" width="0.28515625" style="3" customWidth="1"/>
    <col min="19" max="19" width="0.7109375" style="3" customWidth="1"/>
    <col min="20" max="21" width="4.7109375" style="3" customWidth="1"/>
    <col min="22" max="22" width="0.5703125" style="3" customWidth="1"/>
    <col min="23" max="23" width="3.7109375" style="3" customWidth="1"/>
    <col min="24" max="24" width="0.85546875" style="3" customWidth="1"/>
    <col min="25" max="25" width="4.7109375" style="3" customWidth="1"/>
    <col min="26" max="26" width="2.85546875" style="3" customWidth="1"/>
    <col min="27" max="27" width="2.42578125" style="3" customWidth="1"/>
    <col min="28" max="28" width="0.5703125" style="3" customWidth="1"/>
    <col min="29" max="29" width="4.28515625" style="3" customWidth="1"/>
    <col min="30" max="30" width="14" style="3" customWidth="1"/>
    <col min="31" max="31" width="4.28515625" style="3" customWidth="1"/>
    <col min="32" max="32" width="0.85546875" style="3" customWidth="1"/>
    <col min="33" max="33" width="8.85546875" style="3" hidden="1" customWidth="1"/>
    <col min="34" max="34" width="2.7109375" style="3" hidden="1" customWidth="1"/>
    <col min="35" max="35" width="4" style="3" hidden="1" customWidth="1"/>
    <col min="36" max="37" width="1.7109375" style="3" customWidth="1"/>
    <col min="38" max="39" width="14.7109375" style="3" customWidth="1"/>
    <col min="40" max="40" width="11.7109375" style="3" customWidth="1"/>
    <col min="41" max="41" width="1.7109375" style="3" customWidth="1"/>
    <col min="42" max="42" width="2.7109375" style="3" customWidth="1"/>
    <col min="43" max="43" width="11.7109375" style="3" hidden="1" customWidth="1"/>
    <col min="44" max="16384" width="3.7109375" style="3" hidden="1"/>
  </cols>
  <sheetData>
    <row r="1" spans="1:44" ht="3" customHeight="1" thickBot="1">
      <c r="A1" s="79"/>
      <c r="B1" s="497"/>
      <c r="C1" s="497"/>
      <c r="D1" s="497"/>
      <c r="E1" s="79"/>
      <c r="F1" s="79"/>
      <c r="G1" s="79"/>
      <c r="H1" s="79"/>
      <c r="I1" s="79"/>
      <c r="J1" s="79"/>
      <c r="K1" s="79"/>
      <c r="L1" s="79"/>
      <c r="M1" s="79"/>
      <c r="N1" s="79"/>
      <c r="O1" s="79"/>
      <c r="P1" s="79"/>
      <c r="Q1" s="79"/>
      <c r="R1" s="79"/>
      <c r="S1" s="79"/>
      <c r="T1" s="79"/>
      <c r="U1" s="79"/>
      <c r="V1" s="79"/>
      <c r="W1" s="79"/>
      <c r="X1" s="79"/>
      <c r="Y1" s="79"/>
      <c r="Z1" s="79"/>
      <c r="AA1" s="79"/>
      <c r="AB1" s="79"/>
      <c r="AC1" s="79"/>
      <c r="AD1" s="475" t="s">
        <v>496</v>
      </c>
      <c r="AE1" s="476"/>
      <c r="AF1" s="79"/>
      <c r="AK1" s="1"/>
      <c r="AL1" s="1"/>
      <c r="AM1" s="1"/>
      <c r="AN1" s="1"/>
      <c r="AO1" s="1"/>
      <c r="AP1" s="1"/>
      <c r="AQ1"/>
      <c r="AR1"/>
    </row>
    <row r="2" spans="1:44" ht="18.75" thickTop="1" thickBot="1">
      <c r="A2" s="79"/>
      <c r="B2" s="488" t="s">
        <v>587</v>
      </c>
      <c r="C2" s="488"/>
      <c r="D2" s="489"/>
      <c r="E2" s="81"/>
      <c r="F2" s="604" t="s">
        <v>989</v>
      </c>
      <c r="G2" s="605"/>
      <c r="H2" s="605"/>
      <c r="I2" s="605"/>
      <c r="J2" s="605"/>
      <c r="K2" s="605"/>
      <c r="L2" s="605"/>
      <c r="M2" s="605"/>
      <c r="N2" s="605"/>
      <c r="O2" s="605"/>
      <c r="P2" s="605"/>
      <c r="Q2" s="605"/>
      <c r="R2" s="606"/>
      <c r="S2" s="606"/>
      <c r="T2" s="606"/>
      <c r="U2" s="607"/>
      <c r="V2" s="81"/>
      <c r="W2" s="611" t="s">
        <v>552</v>
      </c>
      <c r="X2" s="612"/>
      <c r="Y2" s="613"/>
      <c r="Z2" s="608" t="s">
        <v>988</v>
      </c>
      <c r="AA2" s="609"/>
      <c r="AB2" s="609"/>
      <c r="AC2" s="610"/>
      <c r="AD2" s="476"/>
      <c r="AE2" s="476"/>
      <c r="AF2" s="79"/>
      <c r="AK2" s="1"/>
      <c r="AL2" s="220" t="s">
        <v>620</v>
      </c>
      <c r="AM2" s="623" t="str">
        <f>VLOOKUP(age,agelookup,3,TRUE)</f>
        <v>Young Adult</v>
      </c>
      <c r="AN2" s="624"/>
      <c r="AO2" s="1"/>
      <c r="AP2" s="1"/>
      <c r="AQ2"/>
      <c r="AR2"/>
    </row>
    <row r="3" spans="1:44" ht="18.75" thickTop="1" thickBot="1">
      <c r="A3" s="80"/>
      <c r="B3" s="488" t="s">
        <v>586</v>
      </c>
      <c r="C3" s="488"/>
      <c r="D3" s="489"/>
      <c r="E3" s="82"/>
      <c r="F3" s="504">
        <v>14</v>
      </c>
      <c r="G3" s="505"/>
      <c r="H3" s="506"/>
      <c r="I3" s="81"/>
      <c r="J3" s="473" t="s">
        <v>606</v>
      </c>
      <c r="K3" s="474"/>
      <c r="L3" s="474"/>
      <c r="M3" s="474"/>
      <c r="N3" s="474"/>
      <c r="O3" s="474"/>
      <c r="P3" s="495" t="s">
        <v>380</v>
      </c>
      <c r="Q3" s="495"/>
      <c r="R3" s="81"/>
      <c r="S3" s="496" t="s">
        <v>607</v>
      </c>
      <c r="T3" s="474"/>
      <c r="U3" s="474"/>
      <c r="V3" s="81"/>
      <c r="W3" s="490" t="s">
        <v>990</v>
      </c>
      <c r="X3" s="491"/>
      <c r="Y3" s="491"/>
      <c r="Z3" s="491"/>
      <c r="AA3" s="491"/>
      <c r="AB3" s="491"/>
      <c r="AC3" s="492"/>
      <c r="AD3" s="477"/>
      <c r="AE3" s="477"/>
      <c r="AF3" s="80"/>
      <c r="AG3" s="4"/>
      <c r="AK3" s="1"/>
      <c r="AL3" s="221" t="s">
        <v>639</v>
      </c>
      <c r="AM3" s="219">
        <f>IF(agecategory="","",VLOOKUP(agecategory,agetable,3,FALSE))</f>
        <v>5</v>
      </c>
      <c r="AN3" s="1"/>
      <c r="AO3" s="1"/>
      <c r="AP3" s="1"/>
      <c r="AQ3"/>
      <c r="AR3"/>
    </row>
    <row r="4" spans="1:44" ht="18.75" thickTop="1" thickBot="1">
      <c r="A4" s="1"/>
      <c r="B4" s="481" t="s">
        <v>585</v>
      </c>
      <c r="C4" s="482"/>
      <c r="D4" s="482"/>
      <c r="E4" s="482"/>
      <c r="F4" s="482"/>
      <c r="G4" s="482"/>
      <c r="H4" s="482"/>
      <c r="I4" s="482"/>
      <c r="J4" s="482"/>
      <c r="K4" s="482"/>
      <c r="L4" s="482"/>
      <c r="M4" s="482"/>
      <c r="N4" s="482"/>
      <c r="O4" s="482"/>
      <c r="P4" s="482"/>
      <c r="Q4" s="482"/>
      <c r="R4" s="482"/>
      <c r="S4" s="482"/>
      <c r="T4" s="482"/>
      <c r="U4" s="482"/>
      <c r="V4" s="483"/>
      <c r="W4" s="483"/>
      <c r="X4" s="483"/>
      <c r="Y4" s="483"/>
      <c r="Z4" s="483"/>
      <c r="AA4" s="483"/>
      <c r="AB4" s="483"/>
      <c r="AC4" s="483"/>
      <c r="AD4" s="483"/>
      <c r="AE4" s="484"/>
      <c r="AF4" s="1"/>
      <c r="AG4" s="121"/>
      <c r="AK4" s="1"/>
      <c r="AL4" s="220" t="s">
        <v>327</v>
      </c>
      <c r="AM4" s="623" t="str">
        <f>IF(COUNTIF(abilities,AG4)=1,AG4,"")</f>
        <v/>
      </c>
      <c r="AN4" s="624"/>
      <c r="AO4" s="1"/>
      <c r="AP4" s="1"/>
      <c r="AQ4"/>
      <c r="AR4"/>
    </row>
    <row r="5" spans="1:44" ht="16.5" thickTop="1" thickBot="1">
      <c r="A5" s="1"/>
      <c r="B5" s="83" t="s">
        <v>584</v>
      </c>
      <c r="C5" s="84"/>
      <c r="D5" s="480" t="s">
        <v>583</v>
      </c>
      <c r="E5" s="493"/>
      <c r="F5" s="493"/>
      <c r="G5" s="493"/>
      <c r="H5" s="493"/>
      <c r="I5" s="493"/>
      <c r="J5" s="494"/>
      <c r="K5" s="84"/>
      <c r="L5" s="480" t="s">
        <v>596</v>
      </c>
      <c r="M5" s="480"/>
      <c r="N5" s="480"/>
      <c r="O5" s="480"/>
      <c r="P5" s="480"/>
      <c r="Q5" s="480"/>
      <c r="R5" s="84"/>
      <c r="S5" s="84"/>
      <c r="T5" s="480" t="s">
        <v>584</v>
      </c>
      <c r="U5" s="480"/>
      <c r="V5" s="84"/>
      <c r="W5" s="480" t="s">
        <v>583</v>
      </c>
      <c r="X5" s="480"/>
      <c r="Y5" s="480"/>
      <c r="Z5" s="480"/>
      <c r="AA5" s="480"/>
      <c r="AB5" s="84"/>
      <c r="AC5" s="480" t="s">
        <v>596</v>
      </c>
      <c r="AD5" s="480"/>
      <c r="AE5" s="485"/>
      <c r="AF5" s="1"/>
      <c r="AK5" s="1"/>
      <c r="AL5" s="204"/>
      <c r="AM5" s="1"/>
      <c r="AN5" s="1"/>
      <c r="AO5" s="1"/>
      <c r="AP5" s="1"/>
      <c r="AQ5"/>
      <c r="AR5"/>
    </row>
    <row r="6" spans="1:44" ht="12.95" customHeight="1" thickTop="1" thickBot="1">
      <c r="A6" s="447"/>
      <c r="B6" s="486">
        <v>4</v>
      </c>
      <c r="C6" s="447"/>
      <c r="D6" s="507" t="s">
        <v>581</v>
      </c>
      <c r="E6" s="449"/>
      <c r="F6" s="449"/>
      <c r="G6" s="449"/>
      <c r="H6" s="449"/>
      <c r="I6" s="449"/>
      <c r="J6" s="449"/>
      <c r="K6" s="1"/>
      <c r="L6" s="471">
        <v>2</v>
      </c>
      <c r="M6" s="472"/>
      <c r="N6" s="452" t="s">
        <v>641</v>
      </c>
      <c r="O6" s="452"/>
      <c r="P6" s="452"/>
      <c r="Q6" s="453"/>
      <c r="R6" s="447"/>
      <c r="S6" s="447"/>
      <c r="T6" s="486">
        <v>2</v>
      </c>
      <c r="U6" s="487"/>
      <c r="V6" s="447"/>
      <c r="W6" s="507" t="s">
        <v>597</v>
      </c>
      <c r="X6" s="507"/>
      <c r="Y6" s="507"/>
      <c r="Z6" s="507"/>
      <c r="AA6" s="507"/>
      <c r="AB6" s="1"/>
      <c r="AC6" s="208"/>
      <c r="AD6" s="478"/>
      <c r="AE6" s="479"/>
      <c r="AF6" s="1"/>
      <c r="AG6" s="3">
        <f>IF(B6="","",INDEX(abilitycost,B6,2))</f>
        <v>40</v>
      </c>
      <c r="AH6" s="3">
        <f>IF(D6=heroicability,10,maxability)</f>
        <v>5</v>
      </c>
      <c r="AK6" s="1"/>
      <c r="AL6" s="551" t="s">
        <v>468</v>
      </c>
      <c r="AM6" s="552"/>
      <c r="AN6" s="1"/>
      <c r="AO6" s="1"/>
      <c r="AP6" s="1"/>
    </row>
    <row r="7" spans="1:44" ht="12.95" customHeight="1" thickBot="1">
      <c r="A7" s="447"/>
      <c r="B7" s="486"/>
      <c r="C7" s="447"/>
      <c r="D7" s="449"/>
      <c r="E7" s="449"/>
      <c r="F7" s="449"/>
      <c r="G7" s="449"/>
      <c r="H7" s="449"/>
      <c r="I7" s="449"/>
      <c r="J7" s="449"/>
      <c r="K7" s="1"/>
      <c r="L7" s="469"/>
      <c r="M7" s="470"/>
      <c r="N7" s="458"/>
      <c r="O7" s="458"/>
      <c r="P7" s="458"/>
      <c r="Q7" s="459"/>
      <c r="R7" s="447"/>
      <c r="S7" s="447"/>
      <c r="T7" s="486"/>
      <c r="U7" s="487"/>
      <c r="V7" s="447"/>
      <c r="W7" s="507"/>
      <c r="X7" s="507"/>
      <c r="Y7" s="507"/>
      <c r="Z7" s="507"/>
      <c r="AA7" s="507"/>
      <c r="AB7" s="1"/>
      <c r="AC7" s="209"/>
      <c r="AD7" s="465"/>
      <c r="AE7" s="466"/>
      <c r="AF7" s="1"/>
      <c r="AG7" s="3">
        <f>IF(T6="","",INDEX(abilitycost,T6,2))</f>
        <v>0</v>
      </c>
      <c r="AH7" s="3">
        <f>IF(W6=heroicability,10,maxability)</f>
        <v>5</v>
      </c>
      <c r="AK7" s="1"/>
      <c r="AL7" s="552"/>
      <c r="AM7" s="552"/>
      <c r="AN7" s="1"/>
      <c r="AO7" s="1"/>
      <c r="AP7" s="1"/>
    </row>
    <row r="8" spans="1:44" ht="12.95" customHeight="1" thickBot="1">
      <c r="A8" s="447"/>
      <c r="B8" s="486"/>
      <c r="C8" s="447"/>
      <c r="D8" s="463">
        <f>agility+agilitymod</f>
        <v>4</v>
      </c>
      <c r="E8" s="500"/>
      <c r="F8" s="500"/>
      <c r="G8" s="500"/>
      <c r="H8" s="460">
        <f>agilitybonus+armourpen</f>
        <v>0</v>
      </c>
      <c r="I8" s="460"/>
      <c r="J8" s="460"/>
      <c r="K8" s="1"/>
      <c r="L8" s="467"/>
      <c r="M8" s="468"/>
      <c r="N8" s="450"/>
      <c r="O8" s="450"/>
      <c r="P8" s="450"/>
      <c r="Q8" s="451"/>
      <c r="R8" s="447"/>
      <c r="S8" s="447"/>
      <c r="T8" s="486"/>
      <c r="U8" s="487"/>
      <c r="V8" s="447"/>
      <c r="W8" s="463">
        <f>knowledge+knowledgemod</f>
        <v>2</v>
      </c>
      <c r="X8" s="464"/>
      <c r="Y8" s="464"/>
      <c r="Z8" s="460">
        <f>knowledgebonus</f>
        <v>0</v>
      </c>
      <c r="AA8" s="460"/>
      <c r="AB8" s="1"/>
      <c r="AC8" s="209"/>
      <c r="AD8" s="465"/>
      <c r="AE8" s="466"/>
      <c r="AF8" s="1"/>
      <c r="AK8" s="1"/>
      <c r="AL8" s="553">
        <f>IF(agecategory="",0,VLOOKUP(agecategory,agetable,2,FALSE))</f>
        <v>180</v>
      </c>
      <c r="AM8" s="553"/>
      <c r="AN8" s="1"/>
      <c r="AO8" s="1"/>
      <c r="AP8" s="1"/>
    </row>
    <row r="9" spans="1:44" ht="12.95" customHeight="1" thickTop="1" thickBot="1">
      <c r="A9" s="447"/>
      <c r="B9" s="454">
        <v>3</v>
      </c>
      <c r="C9" s="447"/>
      <c r="D9" s="501" t="s">
        <v>582</v>
      </c>
      <c r="E9" s="502"/>
      <c r="F9" s="502"/>
      <c r="G9" s="502"/>
      <c r="H9" s="502"/>
      <c r="I9" s="502"/>
      <c r="J9" s="502"/>
      <c r="K9" s="1"/>
      <c r="L9" s="471"/>
      <c r="M9" s="472"/>
      <c r="N9" s="452"/>
      <c r="O9" s="452"/>
      <c r="P9" s="452"/>
      <c r="Q9" s="453"/>
      <c r="R9" s="447"/>
      <c r="S9" s="447"/>
      <c r="T9" s="454">
        <v>4</v>
      </c>
      <c r="U9" s="455"/>
      <c r="V9" s="447"/>
      <c r="W9" s="501" t="s">
        <v>598</v>
      </c>
      <c r="X9" s="461"/>
      <c r="Y9" s="461"/>
      <c r="Z9" s="461"/>
      <c r="AA9" s="461"/>
      <c r="AB9" s="1"/>
      <c r="AC9" s="209"/>
      <c r="AD9" s="465"/>
      <c r="AE9" s="466"/>
      <c r="AF9" s="1"/>
      <c r="AG9" s="3">
        <f>IF(B9="","",INDEX(abilitycost,B9,2))</f>
        <v>10</v>
      </c>
      <c r="AH9" s="3">
        <f>IF(D9=heroicability,10,maxability)</f>
        <v>5</v>
      </c>
      <c r="AK9" s="1"/>
      <c r="AL9" s="186" t="s">
        <v>638</v>
      </c>
      <c r="AM9" s="187" t="s">
        <v>458</v>
      </c>
      <c r="AN9" s="1"/>
      <c r="AO9" s="1"/>
      <c r="AP9" s="1"/>
    </row>
    <row r="10" spans="1:44" ht="12.95" customHeight="1" thickBot="1">
      <c r="A10" s="447"/>
      <c r="B10" s="456"/>
      <c r="C10" s="447"/>
      <c r="D10" s="503"/>
      <c r="E10" s="503"/>
      <c r="F10" s="503"/>
      <c r="G10" s="503"/>
      <c r="H10" s="503"/>
      <c r="I10" s="503"/>
      <c r="J10" s="503"/>
      <c r="K10" s="1"/>
      <c r="L10" s="469"/>
      <c r="M10" s="470"/>
      <c r="N10" s="458"/>
      <c r="O10" s="458"/>
      <c r="P10" s="458"/>
      <c r="Q10" s="459"/>
      <c r="R10" s="447"/>
      <c r="S10" s="447"/>
      <c r="T10" s="456"/>
      <c r="U10" s="457"/>
      <c r="V10" s="447"/>
      <c r="W10" s="462"/>
      <c r="X10" s="462"/>
      <c r="Y10" s="462"/>
      <c r="Z10" s="462"/>
      <c r="AA10" s="462"/>
      <c r="AB10" s="1"/>
      <c r="AC10" s="209"/>
      <c r="AD10" s="465"/>
      <c r="AE10" s="466"/>
      <c r="AF10" s="1"/>
      <c r="AG10" s="3">
        <f>IF(T9="","",INDEX(abilitycost,T9,2))</f>
        <v>40</v>
      </c>
      <c r="AH10" s="3">
        <f>IF(W9=heroicability,10,maxability)</f>
        <v>5</v>
      </c>
      <c r="AK10" s="1"/>
      <c r="AL10" s="218">
        <f>SUM(AG6:AG32)+SUM(AG33:AI35)</f>
        <v>180</v>
      </c>
      <c r="AM10" s="217">
        <f>AL8-AL10</f>
        <v>0</v>
      </c>
      <c r="AN10" s="205"/>
      <c r="AO10" s="205"/>
      <c r="AP10" s="1"/>
    </row>
    <row r="11" spans="1:44" ht="12.95" customHeight="1" thickBot="1">
      <c r="A11" s="447"/>
      <c r="B11" s="456"/>
      <c r="C11" s="447"/>
      <c r="D11" s="463">
        <f>animal+animalmod</f>
        <v>3</v>
      </c>
      <c r="E11" s="500"/>
      <c r="F11" s="500"/>
      <c r="G11" s="500"/>
      <c r="H11" s="460">
        <f>animalbonus</f>
        <v>0</v>
      </c>
      <c r="I11" s="460"/>
      <c r="J11" s="460"/>
      <c r="K11" s="1"/>
      <c r="L11" s="467"/>
      <c r="M11" s="468"/>
      <c r="N11" s="450"/>
      <c r="O11" s="450"/>
      <c r="P11" s="450"/>
      <c r="Q11" s="451"/>
      <c r="R11" s="447"/>
      <c r="S11" s="447"/>
      <c r="T11" s="456"/>
      <c r="U11" s="457"/>
      <c r="V11" s="447"/>
      <c r="W11" s="463">
        <f>marksmanship+marksmanshipmod</f>
        <v>4</v>
      </c>
      <c r="X11" s="464"/>
      <c r="Y11" s="464"/>
      <c r="Z11" s="460">
        <f>marksmanshipbonus</f>
        <v>0</v>
      </c>
      <c r="AA11" s="460"/>
      <c r="AB11" s="1"/>
      <c r="AC11" s="209"/>
      <c r="AD11" s="465"/>
      <c r="AE11" s="466"/>
      <c r="AF11" s="1"/>
      <c r="AK11" s="1"/>
      <c r="AL11" s="1"/>
      <c r="AM11" s="1"/>
      <c r="AN11" s="1"/>
      <c r="AO11" s="1"/>
      <c r="AP11" s="1"/>
    </row>
    <row r="12" spans="1:44" ht="12.95" customHeight="1" thickTop="1">
      <c r="A12" s="447"/>
      <c r="B12" s="454">
        <v>4</v>
      </c>
      <c r="C12" s="447"/>
      <c r="D12" s="461" t="s">
        <v>588</v>
      </c>
      <c r="E12" s="502"/>
      <c r="F12" s="502"/>
      <c r="G12" s="502"/>
      <c r="H12" s="502"/>
      <c r="I12" s="502"/>
      <c r="J12" s="502"/>
      <c r="K12" s="1"/>
      <c r="L12" s="471"/>
      <c r="M12" s="472"/>
      <c r="N12" s="452"/>
      <c r="O12" s="452"/>
      <c r="P12" s="452"/>
      <c r="Q12" s="453"/>
      <c r="R12" s="447"/>
      <c r="S12" s="447"/>
      <c r="T12" s="454">
        <v>2</v>
      </c>
      <c r="U12" s="455"/>
      <c r="V12" s="447"/>
      <c r="W12" s="461" t="s">
        <v>599</v>
      </c>
      <c r="X12" s="461"/>
      <c r="Y12" s="461"/>
      <c r="Z12" s="461"/>
      <c r="AA12" s="461"/>
      <c r="AB12" s="1"/>
      <c r="AC12" s="209"/>
      <c r="AD12" s="465"/>
      <c r="AE12" s="466"/>
      <c r="AF12" s="1"/>
      <c r="AG12" s="3">
        <f>IF(B12="","",INDEX(abilitycost,B12,2))</f>
        <v>40</v>
      </c>
      <c r="AH12" s="3">
        <f>IF(D12=heroicability,10,maxability)</f>
        <v>5</v>
      </c>
      <c r="AK12" s="1"/>
      <c r="AL12" s="554" t="s">
        <v>459</v>
      </c>
      <c r="AM12" s="555"/>
      <c r="AN12" s="1"/>
      <c r="AO12" s="1"/>
      <c r="AP12" s="1"/>
      <c r="AQ12" s="8"/>
    </row>
    <row r="13" spans="1:44" ht="12.95" customHeight="1">
      <c r="A13" s="447"/>
      <c r="B13" s="456"/>
      <c r="C13" s="447"/>
      <c r="D13" s="503"/>
      <c r="E13" s="503"/>
      <c r="F13" s="503"/>
      <c r="G13" s="503"/>
      <c r="H13" s="503"/>
      <c r="I13" s="503"/>
      <c r="J13" s="503"/>
      <c r="K13" s="1"/>
      <c r="L13" s="469"/>
      <c r="M13" s="470"/>
      <c r="N13" s="458"/>
      <c r="O13" s="458"/>
      <c r="P13" s="458"/>
      <c r="Q13" s="459"/>
      <c r="R13" s="447"/>
      <c r="S13" s="447"/>
      <c r="T13" s="456"/>
      <c r="U13" s="457"/>
      <c r="V13" s="447"/>
      <c r="W13" s="462"/>
      <c r="X13" s="462"/>
      <c r="Y13" s="462"/>
      <c r="Z13" s="462"/>
      <c r="AA13" s="462"/>
      <c r="AB13" s="1"/>
      <c r="AC13" s="209"/>
      <c r="AD13" s="465"/>
      <c r="AE13" s="466"/>
      <c r="AF13" s="1"/>
      <c r="AG13" s="3">
        <f>IF(T12="","",INDEX(abilitycost,T12,2))</f>
        <v>0</v>
      </c>
      <c r="AH13" s="3">
        <f>IF(W12=heroicability,10,maxability)</f>
        <v>5</v>
      </c>
      <c r="AK13" s="1"/>
      <c r="AL13" s="556"/>
      <c r="AM13" s="557"/>
      <c r="AN13" s="1"/>
      <c r="AO13" s="1"/>
      <c r="AP13" s="1"/>
    </row>
    <row r="14" spans="1:44" ht="12.95" customHeight="1" thickBot="1">
      <c r="A14" s="447"/>
      <c r="B14" s="456"/>
      <c r="C14" s="447"/>
      <c r="D14" s="463">
        <f>athletics+athleticsmod</f>
        <v>4</v>
      </c>
      <c r="E14" s="500"/>
      <c r="F14" s="500"/>
      <c r="G14" s="500"/>
      <c r="H14" s="460">
        <f>athleticsbonus</f>
        <v>0</v>
      </c>
      <c r="I14" s="460"/>
      <c r="J14" s="460"/>
      <c r="K14" s="1"/>
      <c r="L14" s="467"/>
      <c r="M14" s="468"/>
      <c r="N14" s="450"/>
      <c r="O14" s="450"/>
      <c r="P14" s="450"/>
      <c r="Q14" s="451"/>
      <c r="R14" s="447"/>
      <c r="S14" s="447"/>
      <c r="T14" s="456"/>
      <c r="U14" s="457"/>
      <c r="V14" s="447"/>
      <c r="W14" s="463">
        <f>persuasion+persuasionmod</f>
        <v>2</v>
      </c>
      <c r="X14" s="464"/>
      <c r="Y14" s="464"/>
      <c r="Z14" s="460">
        <f>persuasionbonus</f>
        <v>0</v>
      </c>
      <c r="AA14" s="460"/>
      <c r="AB14" s="1"/>
      <c r="AC14" s="209"/>
      <c r="AD14" s="465"/>
      <c r="AE14" s="466"/>
      <c r="AF14" s="1"/>
      <c r="AK14" s="1"/>
      <c r="AL14" s="558">
        <f>IF(agecategory="",0,VLOOKUP(agecategory,agetable,4,FALSE))</f>
        <v>60</v>
      </c>
      <c r="AM14" s="559"/>
      <c r="AN14" s="1"/>
      <c r="AO14" s="1"/>
      <c r="AP14" s="1"/>
    </row>
    <row r="15" spans="1:44" ht="12.95" customHeight="1" thickTop="1" thickBot="1">
      <c r="A15" s="447"/>
      <c r="B15" s="454">
        <v>3</v>
      </c>
      <c r="C15" s="447"/>
      <c r="D15" s="461" t="s">
        <v>589</v>
      </c>
      <c r="E15" s="502"/>
      <c r="F15" s="502"/>
      <c r="G15" s="502"/>
      <c r="H15" s="502"/>
      <c r="I15" s="502"/>
      <c r="J15" s="502"/>
      <c r="K15" s="1"/>
      <c r="L15" s="471"/>
      <c r="M15" s="472"/>
      <c r="N15" s="452"/>
      <c r="O15" s="452"/>
      <c r="P15" s="452"/>
      <c r="Q15" s="453"/>
      <c r="R15" s="447"/>
      <c r="S15" s="447"/>
      <c r="T15" s="454">
        <v>1</v>
      </c>
      <c r="U15" s="455"/>
      <c r="V15" s="447"/>
      <c r="W15" s="461" t="s">
        <v>600</v>
      </c>
      <c r="X15" s="461"/>
      <c r="Y15" s="461"/>
      <c r="Z15" s="461"/>
      <c r="AA15" s="461"/>
      <c r="AB15" s="1"/>
      <c r="AC15" s="209"/>
      <c r="AD15" s="465"/>
      <c r="AE15" s="466"/>
      <c r="AF15" s="1"/>
      <c r="AG15" s="3">
        <f>IF(B15="","",INDEX(abilitycost,B15,2))</f>
        <v>10</v>
      </c>
      <c r="AH15" s="3">
        <f>IF(D15=heroicability,10,maxability)</f>
        <v>5</v>
      </c>
      <c r="AK15" s="1"/>
      <c r="AL15" s="186" t="s">
        <v>638</v>
      </c>
      <c r="AM15" s="187" t="s">
        <v>458</v>
      </c>
      <c r="AN15" s="1"/>
      <c r="AO15" s="1"/>
      <c r="AP15" s="1"/>
      <c r="AQ15"/>
    </row>
    <row r="16" spans="1:44" ht="12.95" customHeight="1" thickBot="1">
      <c r="A16" s="447"/>
      <c r="B16" s="456"/>
      <c r="C16" s="447"/>
      <c r="D16" s="503"/>
      <c r="E16" s="503"/>
      <c r="F16" s="503"/>
      <c r="G16" s="503"/>
      <c r="H16" s="503"/>
      <c r="I16" s="503"/>
      <c r="J16" s="503"/>
      <c r="K16" s="1"/>
      <c r="L16" s="467"/>
      <c r="M16" s="468"/>
      <c r="N16" s="450"/>
      <c r="O16" s="450"/>
      <c r="P16" s="450"/>
      <c r="Q16" s="451"/>
      <c r="R16" s="447"/>
      <c r="S16" s="447"/>
      <c r="T16" s="456"/>
      <c r="U16" s="457"/>
      <c r="V16" s="447"/>
      <c r="W16" s="462"/>
      <c r="X16" s="462"/>
      <c r="Y16" s="462"/>
      <c r="Z16" s="462"/>
      <c r="AA16" s="462"/>
      <c r="AB16" s="1"/>
      <c r="AC16" s="209"/>
      <c r="AD16" s="465"/>
      <c r="AE16" s="466"/>
      <c r="AF16" s="1"/>
      <c r="AG16" s="3">
        <f>IF(T15="","",INDEX(abilitycost,T15,2))</f>
        <v>-50</v>
      </c>
      <c r="AH16" s="3">
        <f>IF(W15=heroicability,10,7)</f>
        <v>7</v>
      </c>
      <c r="AK16" s="1"/>
      <c r="AL16" s="217">
        <f>10*(SUM(L6:M32)+SUM(AC6:AC32))</f>
        <v>60</v>
      </c>
      <c r="AM16" s="217">
        <f>AL14-AL16</f>
        <v>0</v>
      </c>
      <c r="AN16" s="1"/>
      <c r="AO16" s="1"/>
      <c r="AP16" s="1"/>
      <c r="AQ16"/>
    </row>
    <row r="17" spans="1:54" ht="12.95" customHeight="1" thickBot="1">
      <c r="A17" s="447"/>
      <c r="B17" s="456"/>
      <c r="C17" s="447"/>
      <c r="D17" s="463">
        <f>awareness+awarenessmod</f>
        <v>3</v>
      </c>
      <c r="E17" s="500"/>
      <c r="F17" s="500"/>
      <c r="G17" s="500"/>
      <c r="H17" s="460">
        <f>awarenessbonus</f>
        <v>0</v>
      </c>
      <c r="I17" s="460"/>
      <c r="J17" s="460"/>
      <c r="K17" s="1"/>
      <c r="L17" s="498" t="s">
        <v>334</v>
      </c>
      <c r="M17" s="498"/>
      <c r="N17" s="499"/>
      <c r="O17" s="499"/>
      <c r="P17" s="499"/>
      <c r="Q17" s="216">
        <f>actawareness*4+passiveaware</f>
        <v>12</v>
      </c>
      <c r="R17" s="447"/>
      <c r="S17" s="447"/>
      <c r="T17" s="456"/>
      <c r="U17" s="457"/>
      <c r="V17" s="447"/>
      <c r="W17" s="463">
        <f>status+statusmod</f>
        <v>1</v>
      </c>
      <c r="X17" s="464"/>
      <c r="Y17" s="464"/>
      <c r="Z17" s="460">
        <f>statusbonus</f>
        <v>0</v>
      </c>
      <c r="AA17" s="460"/>
      <c r="AB17" s="1"/>
      <c r="AC17" s="209"/>
      <c r="AD17" s="465"/>
      <c r="AE17" s="466"/>
      <c r="AF17" s="1"/>
      <c r="AK17" s="1"/>
      <c r="AL17" s="1"/>
      <c r="AM17" s="1"/>
      <c r="AN17" s="1"/>
      <c r="AO17" s="1"/>
      <c r="AP17" s="1"/>
      <c r="AQ17"/>
    </row>
    <row r="18" spans="1:54" ht="12.95" customHeight="1" thickTop="1">
      <c r="A18" s="447"/>
      <c r="B18" s="454">
        <v>2</v>
      </c>
      <c r="C18" s="447"/>
      <c r="D18" s="461" t="s">
        <v>590</v>
      </c>
      <c r="E18" s="502"/>
      <c r="F18" s="502"/>
      <c r="G18" s="502"/>
      <c r="H18" s="502"/>
      <c r="I18" s="502"/>
      <c r="J18" s="502"/>
      <c r="K18" s="1"/>
      <c r="L18" s="471"/>
      <c r="M18" s="472"/>
      <c r="N18" s="452"/>
      <c r="O18" s="452"/>
      <c r="P18" s="452"/>
      <c r="Q18" s="453"/>
      <c r="R18" s="447"/>
      <c r="S18" s="447"/>
      <c r="T18" s="454">
        <v>4</v>
      </c>
      <c r="U18" s="455"/>
      <c r="V18" s="447"/>
      <c r="W18" s="461" t="s">
        <v>601</v>
      </c>
      <c r="X18" s="461"/>
      <c r="Y18" s="461"/>
      <c r="Z18" s="461"/>
      <c r="AA18" s="461"/>
      <c r="AB18" s="1"/>
      <c r="AC18" s="209">
        <v>2</v>
      </c>
      <c r="AD18" s="465" t="s">
        <v>711</v>
      </c>
      <c r="AE18" s="466"/>
      <c r="AF18" s="1"/>
      <c r="AG18" s="3">
        <f>IF(B18="","",INDEX(abilitycost,B18,2))</f>
        <v>0</v>
      </c>
      <c r="AH18" s="3">
        <f>IF(D18=heroicability,10,maxability)</f>
        <v>5</v>
      </c>
      <c r="AK18" s="1"/>
      <c r="AL18" s="1"/>
      <c r="AM18" s="1"/>
      <c r="AN18" s="1"/>
      <c r="AO18" s="1"/>
      <c r="AP18" s="1"/>
      <c r="AQ18"/>
    </row>
    <row r="19" spans="1:54" ht="12.95" customHeight="1">
      <c r="A19" s="447"/>
      <c r="B19" s="456"/>
      <c r="C19" s="447"/>
      <c r="D19" s="503"/>
      <c r="E19" s="503"/>
      <c r="F19" s="503"/>
      <c r="G19" s="503"/>
      <c r="H19" s="503"/>
      <c r="I19" s="503"/>
      <c r="J19" s="503"/>
      <c r="K19" s="1"/>
      <c r="L19" s="469"/>
      <c r="M19" s="470"/>
      <c r="N19" s="458"/>
      <c r="O19" s="458"/>
      <c r="P19" s="458"/>
      <c r="Q19" s="459"/>
      <c r="R19" s="447"/>
      <c r="S19" s="447"/>
      <c r="T19" s="456"/>
      <c r="U19" s="457"/>
      <c r="V19" s="447"/>
      <c r="W19" s="462"/>
      <c r="X19" s="462"/>
      <c r="Y19" s="462"/>
      <c r="Z19" s="462"/>
      <c r="AA19" s="462"/>
      <c r="AB19" s="1"/>
      <c r="AC19" s="210"/>
      <c r="AD19" s="519"/>
      <c r="AE19" s="520"/>
      <c r="AF19" s="1"/>
      <c r="AG19" s="3">
        <f>IF(T18="","",INDEX(abilitycost,T18,2))</f>
        <v>40</v>
      </c>
      <c r="AH19" s="3">
        <f>IF(W18=heroicability,10,maxability)</f>
        <v>5</v>
      </c>
      <c r="AK19" s="1"/>
      <c r="AL19" s="1"/>
      <c r="AM19" s="1"/>
      <c r="AN19" s="1"/>
      <c r="AO19" s="1"/>
      <c r="AP19" s="1"/>
      <c r="AQ19"/>
    </row>
    <row r="20" spans="1:54" ht="12.95" customHeight="1" thickBot="1">
      <c r="A20" s="447"/>
      <c r="B20" s="456"/>
      <c r="C20" s="447"/>
      <c r="D20" s="463">
        <f>cunning+cunningmod</f>
        <v>2</v>
      </c>
      <c r="E20" s="500"/>
      <c r="F20" s="500"/>
      <c r="G20" s="500"/>
      <c r="H20" s="460">
        <f>cunningbonus</f>
        <v>0</v>
      </c>
      <c r="I20" s="460"/>
      <c r="J20" s="460"/>
      <c r="K20" s="1"/>
      <c r="L20" s="467"/>
      <c r="M20" s="468"/>
      <c r="N20" s="450"/>
      <c r="O20" s="450"/>
      <c r="P20" s="450"/>
      <c r="Q20" s="451"/>
      <c r="R20" s="447"/>
      <c r="S20" s="447"/>
      <c r="T20" s="456"/>
      <c r="U20" s="457"/>
      <c r="V20" s="447"/>
      <c r="W20" s="463">
        <f>stealth+stealthmod</f>
        <v>4</v>
      </c>
      <c r="X20" s="464"/>
      <c r="Y20" s="464"/>
      <c r="Z20" s="460">
        <f>stealthbonus</f>
        <v>0</v>
      </c>
      <c r="AA20" s="460"/>
      <c r="AB20" s="1"/>
      <c r="AC20" s="572" t="s">
        <v>333</v>
      </c>
      <c r="AD20" s="499"/>
      <c r="AE20" s="216">
        <f>actstealth*4</f>
        <v>16</v>
      </c>
      <c r="AF20" s="1"/>
      <c r="AK20" s="1"/>
      <c r="AL20" s="1"/>
      <c r="AM20" s="1"/>
      <c r="AN20" s="1"/>
      <c r="AO20" s="1"/>
      <c r="AP20" s="1"/>
      <c r="AQ20"/>
    </row>
    <row r="21" spans="1:54" ht="12.95" customHeight="1" thickTop="1">
      <c r="A21" s="447"/>
      <c r="B21" s="454">
        <v>3</v>
      </c>
      <c r="C21" s="447"/>
      <c r="D21" s="461" t="s">
        <v>591</v>
      </c>
      <c r="E21" s="502"/>
      <c r="F21" s="502"/>
      <c r="G21" s="502"/>
      <c r="H21" s="502"/>
      <c r="I21" s="502"/>
      <c r="J21" s="502"/>
      <c r="K21" s="1"/>
      <c r="L21" s="471"/>
      <c r="M21" s="472"/>
      <c r="N21" s="452"/>
      <c r="O21" s="452"/>
      <c r="P21" s="452"/>
      <c r="Q21" s="453"/>
      <c r="R21" s="447"/>
      <c r="S21" s="447"/>
      <c r="T21" s="454">
        <v>3</v>
      </c>
      <c r="U21" s="455"/>
      <c r="V21" s="447"/>
      <c r="W21" s="461" t="s">
        <v>602</v>
      </c>
      <c r="X21" s="461"/>
      <c r="Y21" s="461"/>
      <c r="Z21" s="461"/>
      <c r="AA21" s="461"/>
      <c r="AB21" s="1"/>
      <c r="AC21" s="209">
        <v>1</v>
      </c>
      <c r="AD21" s="465" t="s">
        <v>713</v>
      </c>
      <c r="AE21" s="466"/>
      <c r="AF21" s="1"/>
      <c r="AG21" s="3">
        <f>IF(B21="","",INDEX(abilitycost,B21,2))</f>
        <v>10</v>
      </c>
      <c r="AH21" s="3">
        <f>IF(D21=heroicability,10,maxability)</f>
        <v>5</v>
      </c>
      <c r="AK21" s="1"/>
      <c r="AL21" s="1"/>
      <c r="AM21" s="1"/>
      <c r="AN21" s="1"/>
      <c r="AO21" s="1"/>
      <c r="AP21" s="1"/>
      <c r="AQ21"/>
    </row>
    <row r="22" spans="1:54" ht="12.95" customHeight="1">
      <c r="A22" s="447"/>
      <c r="B22" s="456"/>
      <c r="C22" s="447"/>
      <c r="D22" s="503"/>
      <c r="E22" s="503"/>
      <c r="F22" s="503"/>
      <c r="G22" s="503"/>
      <c r="H22" s="503"/>
      <c r="I22" s="503"/>
      <c r="J22" s="503"/>
      <c r="K22" s="1"/>
      <c r="L22" s="469"/>
      <c r="M22" s="470"/>
      <c r="N22" s="458"/>
      <c r="O22" s="458"/>
      <c r="P22" s="458"/>
      <c r="Q22" s="459"/>
      <c r="R22" s="447"/>
      <c r="S22" s="447"/>
      <c r="T22" s="456"/>
      <c r="U22" s="457"/>
      <c r="V22" s="447"/>
      <c r="W22" s="462"/>
      <c r="X22" s="462"/>
      <c r="Y22" s="462"/>
      <c r="Z22" s="462"/>
      <c r="AA22" s="462"/>
      <c r="AB22" s="1"/>
      <c r="AC22" s="209"/>
      <c r="AD22" s="465"/>
      <c r="AE22" s="466"/>
      <c r="AF22" s="1"/>
      <c r="AG22" s="3">
        <f>IF(T21="","",INDEX(abilitycost,T21,2))</f>
        <v>10</v>
      </c>
      <c r="AH22" s="3">
        <f>IF(W21=heroicability,10,maxability)</f>
        <v>5</v>
      </c>
      <c r="AK22" s="1"/>
      <c r="AL22" s="1"/>
      <c r="AM22" s="1"/>
      <c r="AN22" s="1"/>
      <c r="AO22" s="1"/>
      <c r="AP22" s="1"/>
      <c r="AQ22"/>
    </row>
    <row r="23" spans="1:54" ht="12.95" customHeight="1" thickBot="1">
      <c r="A23" s="447"/>
      <c r="B23" s="456"/>
      <c r="C23" s="447"/>
      <c r="D23" s="463">
        <f>deception+deceptionmod</f>
        <v>3</v>
      </c>
      <c r="E23" s="500"/>
      <c r="F23" s="500"/>
      <c r="G23" s="500"/>
      <c r="H23" s="460">
        <f>deceptionbonus</f>
        <v>0</v>
      </c>
      <c r="I23" s="460"/>
      <c r="J23" s="460"/>
      <c r="K23" s="1"/>
      <c r="L23" s="469"/>
      <c r="M23" s="470"/>
      <c r="N23" s="458"/>
      <c r="O23" s="458"/>
      <c r="P23" s="458"/>
      <c r="Q23" s="459"/>
      <c r="R23" s="447"/>
      <c r="S23" s="447"/>
      <c r="T23" s="456"/>
      <c r="U23" s="457"/>
      <c r="V23" s="447"/>
      <c r="W23" s="463">
        <f>survival+survivalmod</f>
        <v>3</v>
      </c>
      <c r="X23" s="464"/>
      <c r="Y23" s="464"/>
      <c r="Z23" s="460">
        <f>survivalbonus</f>
        <v>0</v>
      </c>
      <c r="AA23" s="460"/>
      <c r="AB23" s="1"/>
      <c r="AC23" s="209"/>
      <c r="AD23" s="465"/>
      <c r="AE23" s="466"/>
      <c r="AF23" s="1"/>
      <c r="AK23" s="1"/>
      <c r="AL23" s="1"/>
      <c r="AM23" s="1"/>
      <c r="AN23" s="1"/>
      <c r="AO23" s="1"/>
      <c r="AP23" s="1"/>
      <c r="AQ23"/>
      <c r="BB23" s="3" t="s">
        <v>691</v>
      </c>
    </row>
    <row r="24" spans="1:54" ht="12.95" customHeight="1">
      <c r="A24" s="447"/>
      <c r="B24" s="454">
        <v>3</v>
      </c>
      <c r="C24" s="447"/>
      <c r="D24" s="461" t="s">
        <v>592</v>
      </c>
      <c r="E24" s="461"/>
      <c r="F24" s="461"/>
      <c r="G24" s="461"/>
      <c r="H24" s="461"/>
      <c r="I24" s="461"/>
      <c r="J24" s="461"/>
      <c r="K24" s="1"/>
      <c r="L24" s="469"/>
      <c r="M24" s="470"/>
      <c r="N24" s="458"/>
      <c r="O24" s="458"/>
      <c r="P24" s="458"/>
      <c r="Q24" s="459"/>
      <c r="R24" s="447"/>
      <c r="S24" s="447"/>
      <c r="T24" s="454">
        <v>4</v>
      </c>
      <c r="U24" s="455"/>
      <c r="V24" s="447"/>
      <c r="W24" s="461" t="s">
        <v>603</v>
      </c>
      <c r="X24" s="461"/>
      <c r="Y24" s="461"/>
      <c r="Z24" s="461"/>
      <c r="AA24" s="461"/>
      <c r="AB24" s="1"/>
      <c r="AC24" s="209">
        <v>1</v>
      </c>
      <c r="AD24" s="465" t="s">
        <v>720</v>
      </c>
      <c r="AE24" s="466"/>
      <c r="AF24" s="1"/>
      <c r="AG24" s="3">
        <f>IF(B24="","",INDEX(abilitycost,B24,2))</f>
        <v>10</v>
      </c>
      <c r="AH24" s="3">
        <f>IF(D24=heroicability,10,maxability)</f>
        <v>5</v>
      </c>
      <c r="AK24" s="1"/>
      <c r="AL24" s="1"/>
      <c r="AM24" s="1"/>
      <c r="AN24" s="1"/>
      <c r="AO24" s="1"/>
      <c r="AP24" s="1"/>
      <c r="AQ24"/>
      <c r="BB24" s="3" t="s">
        <v>697</v>
      </c>
    </row>
    <row r="25" spans="1:54" ht="12.95" customHeight="1">
      <c r="A25" s="447"/>
      <c r="B25" s="456"/>
      <c r="C25" s="447"/>
      <c r="D25" s="462"/>
      <c r="E25" s="462"/>
      <c r="F25" s="462"/>
      <c r="G25" s="462"/>
      <c r="H25" s="462"/>
      <c r="I25" s="462"/>
      <c r="J25" s="462"/>
      <c r="K25" s="1"/>
      <c r="L25" s="467"/>
      <c r="M25" s="468"/>
      <c r="N25" s="450"/>
      <c r="O25" s="450"/>
      <c r="P25" s="450"/>
      <c r="Q25" s="451"/>
      <c r="R25" s="447"/>
      <c r="S25" s="447"/>
      <c r="T25" s="456"/>
      <c r="U25" s="457"/>
      <c r="V25" s="447"/>
      <c r="W25" s="462"/>
      <c r="X25" s="462"/>
      <c r="Y25" s="462"/>
      <c r="Z25" s="462"/>
      <c r="AA25" s="462"/>
      <c r="AB25" s="1"/>
      <c r="AC25" s="209"/>
      <c r="AD25" s="465"/>
      <c r="AE25" s="466"/>
      <c r="AF25" s="1"/>
      <c r="AG25" s="3">
        <f>IF(T24="","",INDEX(abilitycost,T24,2))</f>
        <v>40</v>
      </c>
      <c r="AH25" s="3">
        <f>IF(W24=heroicability,10,maxability)</f>
        <v>5</v>
      </c>
      <c r="AK25" s="1"/>
      <c r="AL25" s="1"/>
      <c r="AM25" s="1"/>
      <c r="AN25" s="1"/>
      <c r="AO25" s="1"/>
      <c r="AP25" s="1"/>
      <c r="AQ25"/>
      <c r="BB25" s="3" t="s">
        <v>704</v>
      </c>
    </row>
    <row r="26" spans="1:54" ht="12.95" customHeight="1" thickBot="1">
      <c r="A26" s="447"/>
      <c r="B26" s="456"/>
      <c r="C26" s="447"/>
      <c r="D26" s="463">
        <f>endurance+endurancemod</f>
        <v>3</v>
      </c>
      <c r="E26" s="500"/>
      <c r="F26" s="500"/>
      <c r="G26" s="500"/>
      <c r="H26" s="460">
        <f>endurancebonus</f>
        <v>0</v>
      </c>
      <c r="I26" s="460"/>
      <c r="J26" s="460"/>
      <c r="K26" s="1"/>
      <c r="L26" s="498" t="s">
        <v>335</v>
      </c>
      <c r="M26" s="498"/>
      <c r="N26" s="499"/>
      <c r="O26" s="499"/>
      <c r="P26" s="499"/>
      <c r="Q26" s="216">
        <f>actendurance*4</f>
        <v>12</v>
      </c>
      <c r="R26" s="447"/>
      <c r="S26" s="447"/>
      <c r="T26" s="456"/>
      <c r="U26" s="457"/>
      <c r="V26" s="447"/>
      <c r="W26" s="463">
        <f>thievery+thieverymod</f>
        <v>4</v>
      </c>
      <c r="X26" s="464"/>
      <c r="Y26" s="464"/>
      <c r="Z26" s="460">
        <f>thieverybonus</f>
        <v>0</v>
      </c>
      <c r="AA26" s="460"/>
      <c r="AB26" s="1"/>
      <c r="AC26" s="209"/>
      <c r="AD26" s="465"/>
      <c r="AE26" s="466"/>
      <c r="AF26" s="1"/>
      <c r="AK26" s="1"/>
      <c r="AL26" s="1"/>
      <c r="AM26" s="1"/>
      <c r="AN26" s="1"/>
      <c r="AO26" s="1"/>
      <c r="AP26" s="1"/>
      <c r="AQ26"/>
      <c r="BB26" s="3" t="s">
        <v>709</v>
      </c>
    </row>
    <row r="27" spans="1:54" ht="12.95" customHeight="1" thickBot="1">
      <c r="A27" s="447"/>
      <c r="B27" s="454">
        <v>3</v>
      </c>
      <c r="C27" s="447"/>
      <c r="D27" s="461" t="s">
        <v>593</v>
      </c>
      <c r="E27" s="461"/>
      <c r="F27" s="461"/>
      <c r="G27" s="461"/>
      <c r="H27" s="461"/>
      <c r="I27" s="461"/>
      <c r="J27" s="461"/>
      <c r="K27" s="1"/>
      <c r="L27" s="469"/>
      <c r="M27" s="470"/>
      <c r="N27" s="458"/>
      <c r="O27" s="458"/>
      <c r="P27" s="458"/>
      <c r="Q27" s="459"/>
      <c r="R27" s="447"/>
      <c r="S27" s="447"/>
      <c r="T27" s="454">
        <v>1</v>
      </c>
      <c r="U27" s="455"/>
      <c r="V27" s="447"/>
      <c r="W27" s="461" t="s">
        <v>604</v>
      </c>
      <c r="X27" s="461"/>
      <c r="Y27" s="461"/>
      <c r="Z27" s="461"/>
      <c r="AA27" s="461"/>
      <c r="AB27" s="1"/>
      <c r="AC27" s="209"/>
      <c r="AD27" s="465"/>
      <c r="AE27" s="466"/>
      <c r="AF27" s="1"/>
      <c r="AG27" s="3">
        <f>IF(B27="","",INDEX(abilitycost,B27,2))</f>
        <v>10</v>
      </c>
      <c r="AH27" s="3">
        <f>IF(D27=heroicability,10,maxability)</f>
        <v>5</v>
      </c>
      <c r="AK27" s="1"/>
      <c r="AL27" s="1"/>
      <c r="AM27" s="1"/>
      <c r="AN27" s="1"/>
      <c r="AO27" s="1"/>
      <c r="AP27" s="1"/>
      <c r="AQ27"/>
      <c r="BB27" s="3" t="s">
        <v>712</v>
      </c>
    </row>
    <row r="28" spans="1:54" ht="12.95" customHeight="1" thickBot="1">
      <c r="A28" s="447"/>
      <c r="B28" s="456"/>
      <c r="C28" s="447"/>
      <c r="D28" s="462"/>
      <c r="E28" s="462"/>
      <c r="F28" s="462"/>
      <c r="G28" s="462"/>
      <c r="H28" s="462"/>
      <c r="I28" s="462"/>
      <c r="J28" s="462"/>
      <c r="K28" s="1"/>
      <c r="L28" s="469"/>
      <c r="M28" s="470"/>
      <c r="N28" s="458"/>
      <c r="O28" s="458"/>
      <c r="P28" s="458"/>
      <c r="Q28" s="459"/>
      <c r="R28" s="447"/>
      <c r="S28" s="447"/>
      <c r="T28" s="456"/>
      <c r="U28" s="457"/>
      <c r="V28" s="447"/>
      <c r="W28" s="462"/>
      <c r="X28" s="462"/>
      <c r="Y28" s="462"/>
      <c r="Z28" s="462"/>
      <c r="AA28" s="462"/>
      <c r="AB28" s="1"/>
      <c r="AC28" s="209"/>
      <c r="AD28" s="465"/>
      <c r="AE28" s="466"/>
      <c r="AF28" s="1"/>
      <c r="AG28" s="3">
        <f>IF(T27="","",INDEX(abilitycost,T27,2))</f>
        <v>-50</v>
      </c>
      <c r="AH28" s="3">
        <f>IF(W27=heroicability,10,maxability)</f>
        <v>5</v>
      </c>
      <c r="AK28" s="1"/>
      <c r="AL28" s="625" t="s">
        <v>630</v>
      </c>
      <c r="AM28" s="626"/>
      <c r="AN28" s="1"/>
      <c r="AO28" s="1"/>
      <c r="AP28" s="1"/>
      <c r="AQ28"/>
      <c r="BB28" s="3" t="s">
        <v>717</v>
      </c>
    </row>
    <row r="29" spans="1:54" ht="12.95" customHeight="1" thickBot="1">
      <c r="A29" s="447"/>
      <c r="B29" s="456"/>
      <c r="C29" s="447"/>
      <c r="D29" s="463">
        <f>fighting+fightingmod</f>
        <v>3</v>
      </c>
      <c r="E29" s="500"/>
      <c r="F29" s="500"/>
      <c r="G29" s="500"/>
      <c r="H29" s="460">
        <f>fightingbonus</f>
        <v>0</v>
      </c>
      <c r="I29" s="460"/>
      <c r="J29" s="460"/>
      <c r="K29" s="1"/>
      <c r="L29" s="469"/>
      <c r="M29" s="470"/>
      <c r="N29" s="458"/>
      <c r="O29" s="458"/>
      <c r="P29" s="458"/>
      <c r="Q29" s="459"/>
      <c r="R29" s="447"/>
      <c r="S29" s="447"/>
      <c r="T29" s="527"/>
      <c r="U29" s="528"/>
      <c r="V29" s="447"/>
      <c r="W29" s="463">
        <f>warfare+warfaremod</f>
        <v>1</v>
      </c>
      <c r="X29" s="464"/>
      <c r="Y29" s="464"/>
      <c r="Z29" s="460">
        <f>warfarebonus</f>
        <v>0</v>
      </c>
      <c r="AA29" s="460"/>
      <c r="AB29" s="1"/>
      <c r="AC29" s="209"/>
      <c r="AD29" s="465"/>
      <c r="AE29" s="466"/>
      <c r="AF29" s="1"/>
      <c r="AK29" s="1"/>
      <c r="AL29" s="627">
        <f>AL8</f>
        <v>180</v>
      </c>
      <c r="AM29" s="628"/>
      <c r="AN29" s="1"/>
      <c r="AO29" s="1"/>
      <c r="AP29" s="1"/>
      <c r="AQ29"/>
      <c r="BB29" s="3" t="s">
        <v>721</v>
      </c>
    </row>
    <row r="30" spans="1:54" ht="12.95" customHeight="1" thickBot="1">
      <c r="A30" s="447"/>
      <c r="B30" s="454">
        <v>3</v>
      </c>
      <c r="C30" s="447"/>
      <c r="D30" s="461" t="s">
        <v>594</v>
      </c>
      <c r="E30" s="461"/>
      <c r="F30" s="461"/>
      <c r="G30" s="461"/>
      <c r="H30" s="461"/>
      <c r="I30" s="461"/>
      <c r="J30" s="461"/>
      <c r="K30" s="1"/>
      <c r="L30" s="469"/>
      <c r="M30" s="470"/>
      <c r="N30" s="458"/>
      <c r="O30" s="458"/>
      <c r="P30" s="458"/>
      <c r="Q30" s="459"/>
      <c r="R30" s="447"/>
      <c r="S30" s="447"/>
      <c r="T30" s="454">
        <v>3</v>
      </c>
      <c r="U30" s="455"/>
      <c r="V30" s="447"/>
      <c r="W30" s="461" t="s">
        <v>605</v>
      </c>
      <c r="X30" s="461"/>
      <c r="Y30" s="461"/>
      <c r="Z30" s="461"/>
      <c r="AA30" s="461"/>
      <c r="AB30" s="1"/>
      <c r="AC30" s="209"/>
      <c r="AD30" s="465"/>
      <c r="AE30" s="466"/>
      <c r="AF30" s="1"/>
      <c r="AG30" s="3">
        <f>IF(B30="","",INDEX(abilitycost,B30,2))</f>
        <v>10</v>
      </c>
      <c r="AH30" s="3">
        <f>IF(D30=heroicability,10,maxability)</f>
        <v>5</v>
      </c>
      <c r="AK30" s="1"/>
      <c r="AL30" s="207" t="s">
        <v>638</v>
      </c>
      <c r="AM30" s="222" t="s">
        <v>458</v>
      </c>
      <c r="AN30" s="1"/>
      <c r="AO30" s="1"/>
      <c r="AP30" s="1"/>
      <c r="AQ30"/>
      <c r="BB30" s="3" t="s">
        <v>725</v>
      </c>
    </row>
    <row r="31" spans="1:54" ht="12.95" customHeight="1" thickBot="1">
      <c r="A31" s="447"/>
      <c r="B31" s="456"/>
      <c r="C31" s="447"/>
      <c r="D31" s="462"/>
      <c r="E31" s="462"/>
      <c r="F31" s="462"/>
      <c r="G31" s="462"/>
      <c r="H31" s="462"/>
      <c r="I31" s="462"/>
      <c r="J31" s="462"/>
      <c r="K31" s="1"/>
      <c r="L31" s="469"/>
      <c r="M31" s="470"/>
      <c r="N31" s="458"/>
      <c r="O31" s="458"/>
      <c r="P31" s="458"/>
      <c r="Q31" s="459"/>
      <c r="R31" s="447"/>
      <c r="S31" s="447"/>
      <c r="T31" s="456"/>
      <c r="U31" s="457"/>
      <c r="V31" s="447"/>
      <c r="W31" s="462"/>
      <c r="X31" s="462"/>
      <c r="Y31" s="462"/>
      <c r="Z31" s="462"/>
      <c r="AA31" s="462"/>
      <c r="AB31" s="1"/>
      <c r="AC31" s="209"/>
      <c r="AD31" s="465"/>
      <c r="AE31" s="466"/>
      <c r="AF31" s="1"/>
      <c r="AG31" s="3">
        <f>IF(T30="","",INDEX(abilitycost,T30,2))</f>
        <v>10</v>
      </c>
      <c r="AH31" s="3">
        <f>IF(W30=heroicability,10,maxability)</f>
        <v>5</v>
      </c>
      <c r="AK31" s="1"/>
      <c r="AL31" s="218">
        <f>AL10</f>
        <v>180</v>
      </c>
      <c r="AM31" s="217">
        <f>AL29-AL31</f>
        <v>0</v>
      </c>
      <c r="AN31" s="1"/>
      <c r="AO31" s="1"/>
      <c r="AP31" s="1"/>
      <c r="AQ31"/>
    </row>
    <row r="32" spans="1:54" ht="12.95" customHeight="1" thickBot="1">
      <c r="A32" s="447"/>
      <c r="B32" s="456"/>
      <c r="C32" s="447"/>
      <c r="D32" s="463">
        <f>healing+healingmod</f>
        <v>3</v>
      </c>
      <c r="E32" s="500"/>
      <c r="F32" s="500"/>
      <c r="G32" s="500"/>
      <c r="H32" s="460">
        <f>healingbonus</f>
        <v>0</v>
      </c>
      <c r="I32" s="460"/>
      <c r="J32" s="460"/>
      <c r="K32" s="1"/>
      <c r="L32" s="469"/>
      <c r="M32" s="470"/>
      <c r="N32" s="458"/>
      <c r="O32" s="458"/>
      <c r="P32" s="458"/>
      <c r="Q32" s="459"/>
      <c r="R32" s="447"/>
      <c r="S32" s="447"/>
      <c r="T32" s="525"/>
      <c r="U32" s="526"/>
      <c r="V32" s="447"/>
      <c r="W32" s="463">
        <f>will+willmod</f>
        <v>3</v>
      </c>
      <c r="X32" s="464"/>
      <c r="Y32" s="464"/>
      <c r="Z32" s="460">
        <f>willbonus</f>
        <v>0</v>
      </c>
      <c r="AA32" s="460"/>
      <c r="AB32" s="1"/>
      <c r="AC32" s="209"/>
      <c r="AD32" s="465"/>
      <c r="AE32" s="466"/>
      <c r="AF32" s="1"/>
      <c r="AG32" s="3">
        <f>IF(B33="","",INDEX(abilitycost,B33,2))</f>
        <v>0</v>
      </c>
      <c r="AH32" s="3">
        <f>IF(D33=heroicability,10,maxability)</f>
        <v>5</v>
      </c>
      <c r="AK32" s="1"/>
      <c r="AL32" s="554" t="s">
        <v>459</v>
      </c>
      <c r="AM32" s="555"/>
      <c r="AN32" s="1"/>
      <c r="AO32" s="1"/>
      <c r="AP32" s="1"/>
      <c r="AQ32"/>
    </row>
    <row r="33" spans="1:52" ht="12.95" customHeight="1" thickTop="1" thickBot="1">
      <c r="A33" s="447"/>
      <c r="B33" s="454">
        <v>2</v>
      </c>
      <c r="C33" s="447"/>
      <c r="D33" s="461" t="s">
        <v>595</v>
      </c>
      <c r="E33" s="502"/>
      <c r="F33" s="502"/>
      <c r="G33" s="502"/>
      <c r="H33" s="502"/>
      <c r="I33" s="502"/>
      <c r="J33" s="502"/>
      <c r="K33" s="1"/>
      <c r="L33" s="508"/>
      <c r="M33" s="509"/>
      <c r="N33" s="458"/>
      <c r="O33" s="458"/>
      <c r="P33" s="458"/>
      <c r="Q33" s="459"/>
      <c r="R33" s="510"/>
      <c r="S33" s="510"/>
      <c r="T33" s="296"/>
      <c r="U33" s="452"/>
      <c r="V33" s="478"/>
      <c r="W33" s="478"/>
      <c r="X33" s="478"/>
      <c r="Y33" s="478"/>
      <c r="Z33" s="478"/>
      <c r="AA33" s="479"/>
      <c r="AB33" s="99"/>
      <c r="AC33" s="299"/>
      <c r="AD33" s="458"/>
      <c r="AE33" s="459"/>
      <c r="AF33" s="1"/>
      <c r="AG33" s="4">
        <f>IF(L33="",0,INDEX(abilitycost,L33+2,2))</f>
        <v>0</v>
      </c>
      <c r="AH33" s="4">
        <f>IF(T33="",0,INDEX(abilitycost,T33+2,2))</f>
        <v>0</v>
      </c>
      <c r="AI33" s="4">
        <f>IF(AC33="",0,INDEX(abilitycost,AC33+2,2))</f>
        <v>0</v>
      </c>
      <c r="AJ33" s="4"/>
      <c r="AK33" s="1"/>
      <c r="AL33" s="577">
        <f>AL14</f>
        <v>60</v>
      </c>
      <c r="AM33" s="578"/>
      <c r="AN33" s="1"/>
      <c r="AO33" s="1"/>
      <c r="AP33" s="1"/>
      <c r="AQ33"/>
    </row>
    <row r="34" spans="1:52" ht="12.95" customHeight="1" thickBot="1">
      <c r="A34" s="447"/>
      <c r="B34" s="456"/>
      <c r="C34" s="447"/>
      <c r="D34" s="503"/>
      <c r="E34" s="503"/>
      <c r="F34" s="503"/>
      <c r="G34" s="503"/>
      <c r="H34" s="503"/>
      <c r="I34" s="503"/>
      <c r="J34" s="503"/>
      <c r="K34" s="1"/>
      <c r="L34" s="508"/>
      <c r="M34" s="509"/>
      <c r="N34" s="458"/>
      <c r="O34" s="458"/>
      <c r="P34" s="458"/>
      <c r="Q34" s="459"/>
      <c r="R34" s="510"/>
      <c r="S34" s="510"/>
      <c r="T34" s="297"/>
      <c r="U34" s="458"/>
      <c r="V34" s="465"/>
      <c r="W34" s="465"/>
      <c r="X34" s="465"/>
      <c r="Y34" s="465"/>
      <c r="Z34" s="465"/>
      <c r="AA34" s="466"/>
      <c r="AB34" s="99"/>
      <c r="AC34" s="299"/>
      <c r="AD34" s="458"/>
      <c r="AE34" s="459"/>
      <c r="AF34" s="1"/>
      <c r="AG34" s="4">
        <f>IF(L34="",0,INDEX(abilitycost,L34+2,2))</f>
        <v>0</v>
      </c>
      <c r="AH34" s="4">
        <f>IF(T34="",0,INDEX(abilitycost,T34+2,2))</f>
        <v>0</v>
      </c>
      <c r="AI34" s="4">
        <f>IF(AC34="",0,INDEX(abilitycost,AC34+2,2))</f>
        <v>0</v>
      </c>
      <c r="AJ34" s="4"/>
      <c r="AK34" s="1"/>
      <c r="AL34" s="186" t="s">
        <v>638</v>
      </c>
      <c r="AM34" s="187" t="s">
        <v>458</v>
      </c>
      <c r="AN34" s="1"/>
      <c r="AO34" s="1"/>
      <c r="AP34" s="1"/>
      <c r="AQ34"/>
    </row>
    <row r="35" spans="1:52" ht="12.95" customHeight="1" thickBot="1">
      <c r="A35" s="447"/>
      <c r="B35" s="456"/>
      <c r="C35" s="447"/>
      <c r="D35" s="463">
        <f>language+languagemod</f>
        <v>2</v>
      </c>
      <c r="E35" s="500"/>
      <c r="F35" s="500"/>
      <c r="G35" s="500"/>
      <c r="H35" s="460">
        <f>languagebonus</f>
        <v>0</v>
      </c>
      <c r="I35" s="460"/>
      <c r="J35" s="460"/>
      <c r="K35" s="1"/>
      <c r="L35" s="514"/>
      <c r="M35" s="515"/>
      <c r="N35" s="450"/>
      <c r="O35" s="450"/>
      <c r="P35" s="450"/>
      <c r="Q35" s="451"/>
      <c r="R35" s="511"/>
      <c r="S35" s="511"/>
      <c r="T35" s="298"/>
      <c r="U35" s="450"/>
      <c r="V35" s="519"/>
      <c r="W35" s="519"/>
      <c r="X35" s="519"/>
      <c r="Y35" s="519"/>
      <c r="Z35" s="519"/>
      <c r="AA35" s="520"/>
      <c r="AB35" s="99"/>
      <c r="AC35" s="300"/>
      <c r="AD35" s="450"/>
      <c r="AE35" s="451"/>
      <c r="AF35" s="1"/>
      <c r="AG35" s="4">
        <f>IF(L35="",0,INDEX(abilitycost,L35+2,2))</f>
        <v>0</v>
      </c>
      <c r="AH35" s="4">
        <f>IF(T35="",0,INDEX(abilitycost,T35+2,2))</f>
        <v>0</v>
      </c>
      <c r="AI35" s="4">
        <f>IF(AC35="",0,INDEX(abilitycost,AC35+2,2))</f>
        <v>0</v>
      </c>
      <c r="AJ35" s="4"/>
      <c r="AK35" s="1"/>
      <c r="AL35" s="217">
        <f>AL16</f>
        <v>60</v>
      </c>
      <c r="AM35" s="217">
        <f>AL33-AL35</f>
        <v>0</v>
      </c>
      <c r="AN35" s="1"/>
      <c r="AO35" s="1"/>
      <c r="AP35" s="1"/>
    </row>
    <row r="36" spans="1:52" ht="18" thickTop="1">
      <c r="A36" s="1"/>
      <c r="B36" s="521" t="s">
        <v>608</v>
      </c>
      <c r="C36" s="561"/>
      <c r="D36" s="561"/>
      <c r="E36" s="561"/>
      <c r="F36" s="561"/>
      <c r="G36" s="561"/>
      <c r="H36" s="561"/>
      <c r="I36" s="561"/>
      <c r="J36" s="561"/>
      <c r="K36" s="562"/>
      <c r="L36" s="562"/>
      <c r="M36" s="562"/>
      <c r="N36" s="562"/>
      <c r="O36" s="562"/>
      <c r="P36" s="562"/>
      <c r="Q36" s="562"/>
      <c r="R36" s="513"/>
      <c r="S36" s="513"/>
      <c r="T36" s="521" t="s">
        <v>609</v>
      </c>
      <c r="U36" s="521"/>
      <c r="V36" s="521"/>
      <c r="W36" s="521"/>
      <c r="X36" s="521"/>
      <c r="Y36" s="521"/>
      <c r="Z36" s="521"/>
      <c r="AA36" s="521"/>
      <c r="AB36" s="189"/>
      <c r="AC36" s="521" t="s">
        <v>610</v>
      </c>
      <c r="AD36" s="521"/>
      <c r="AE36" s="521"/>
      <c r="AF36" s="1"/>
      <c r="AI36"/>
      <c r="AK36" s="1"/>
      <c r="AL36" s="579" t="s">
        <v>469</v>
      </c>
      <c r="AM36" s="579"/>
      <c r="AN36" s="579"/>
      <c r="AO36" s="1"/>
      <c r="AP36" s="1"/>
    </row>
    <row r="37" spans="1:52" ht="2.1" customHeight="1" thickBot="1">
      <c r="A37" s="1"/>
      <c r="B37" s="2"/>
      <c r="C37" s="2"/>
      <c r="D37" s="447"/>
      <c r="E37" s="449"/>
      <c r="F37" s="449"/>
      <c r="G37" s="449"/>
      <c r="H37" s="449"/>
      <c r="I37" s="449"/>
      <c r="J37" s="449"/>
      <c r="K37" s="449"/>
      <c r="L37" s="449"/>
      <c r="M37" s="449"/>
      <c r="N37" s="449"/>
      <c r="O37" s="449"/>
      <c r="P37" s="447"/>
      <c r="Q37" s="447"/>
      <c r="R37" s="447"/>
      <c r="S37" s="447"/>
      <c r="T37" s="447"/>
      <c r="U37" s="447"/>
      <c r="V37" s="447"/>
      <c r="W37" s="447"/>
      <c r="X37" s="447"/>
      <c r="Y37" s="447"/>
      <c r="Z37" s="447"/>
      <c r="AA37" s="447"/>
      <c r="AB37" s="1"/>
      <c r="AC37" s="447"/>
      <c r="AD37" s="447"/>
      <c r="AE37" s="447"/>
      <c r="AF37" s="1"/>
      <c r="AI37"/>
      <c r="AK37" s="1"/>
      <c r="AL37" s="580"/>
      <c r="AM37" s="580"/>
      <c r="AN37" s="580"/>
      <c r="AO37" s="1"/>
      <c r="AP37" s="1"/>
    </row>
    <row r="38" spans="1:52" ht="24" customHeight="1" thickBot="1">
      <c r="A38" s="2"/>
      <c r="B38" s="211" t="s">
        <v>262</v>
      </c>
      <c r="C38" s="2"/>
      <c r="D38" s="563" t="s">
        <v>836</v>
      </c>
      <c r="E38" s="564"/>
      <c r="F38" s="564"/>
      <c r="G38" s="564"/>
      <c r="H38" s="564"/>
      <c r="I38" s="564"/>
      <c r="J38" s="564"/>
      <c r="K38" s="564"/>
      <c r="L38" s="564"/>
      <c r="M38" s="564"/>
      <c r="N38" s="564"/>
      <c r="O38" s="564"/>
      <c r="P38" s="565"/>
      <c r="Q38" s="565"/>
      <c r="R38" s="447"/>
      <c r="S38" s="447"/>
      <c r="T38" s="522" t="s">
        <v>611</v>
      </c>
      <c r="U38" s="522"/>
      <c r="V38" s="522"/>
      <c r="W38" s="522"/>
      <c r="X38" s="522"/>
      <c r="Y38" s="522"/>
      <c r="Z38" s="523">
        <f>awareness+cunning+status+IDbonus</f>
        <v>6</v>
      </c>
      <c r="AA38" s="524"/>
      <c r="AB38" s="13"/>
      <c r="AC38" s="522" t="s">
        <v>612</v>
      </c>
      <c r="AD38" s="529"/>
      <c r="AE38" s="224">
        <f>agility+athletics+awareness+cdbonus</f>
        <v>11</v>
      </c>
      <c r="AF38" s="6"/>
      <c r="AG38" s="3">
        <f>N(AND(B38="Benefit",D38&lt;&gt;""))</f>
        <v>1</v>
      </c>
      <c r="AI38"/>
      <c r="AK38" s="1"/>
      <c r="AL38" s="581" t="str">
        <f t="shared" ref="AL38:AL46" si="0">IF(D38="","",VLOOKUP(D38,allqualities,9,FALSE))</f>
        <v>Lesser action to add twice Acrobatics to Combat Defence</v>
      </c>
      <c r="AM38" s="582"/>
      <c r="AN38" s="583"/>
      <c r="AO38" s="205"/>
      <c r="AP38" s="1"/>
    </row>
    <row r="39" spans="1:52" ht="21.95" customHeight="1">
      <c r="A39" s="447"/>
      <c r="B39" s="512" t="s">
        <v>262</v>
      </c>
      <c r="C39" s="447"/>
      <c r="D39" s="543" t="s">
        <v>787</v>
      </c>
      <c r="E39" s="544"/>
      <c r="F39" s="544"/>
      <c r="G39" s="544"/>
      <c r="H39" s="544"/>
      <c r="I39" s="544"/>
      <c r="J39" s="544"/>
      <c r="K39" s="544"/>
      <c r="L39" s="544"/>
      <c r="M39" s="544"/>
      <c r="N39" s="544"/>
      <c r="O39" s="544"/>
      <c r="P39" s="545"/>
      <c r="Q39" s="545"/>
      <c r="R39" s="447"/>
      <c r="S39" s="447"/>
      <c r="T39" s="540" t="s">
        <v>257</v>
      </c>
      <c r="U39" s="541"/>
      <c r="V39" s="541"/>
      <c r="W39" s="541"/>
      <c r="X39" s="541"/>
      <c r="Y39" s="541"/>
      <c r="Z39" s="541"/>
      <c r="AA39" s="541"/>
      <c r="AB39" s="13"/>
      <c r="AC39" s="537" t="s">
        <v>258</v>
      </c>
      <c r="AD39" s="538"/>
      <c r="AE39" s="538"/>
      <c r="AF39" s="447"/>
      <c r="AG39" s="560">
        <f>N(AND(B39="Benefit",D39&lt;&gt;""))</f>
        <v>1</v>
      </c>
      <c r="AI39"/>
      <c r="AK39" s="1"/>
      <c r="AL39" s="567" t="str">
        <f t="shared" si="0"/>
        <v>Take no penalties due to low light.</v>
      </c>
      <c r="AM39" s="568"/>
      <c r="AN39" s="569"/>
      <c r="AO39" s="1"/>
      <c r="AP39" s="1"/>
      <c r="AQ39"/>
      <c r="AR39"/>
      <c r="AS39"/>
      <c r="AT39"/>
      <c r="AU39"/>
      <c r="AV39"/>
      <c r="AW39"/>
      <c r="AX39"/>
      <c r="AY39"/>
      <c r="AZ39"/>
    </row>
    <row r="40" spans="1:52" ht="2.4500000000000002" customHeight="1" thickBot="1">
      <c r="A40" s="447"/>
      <c r="B40" s="512"/>
      <c r="C40" s="447"/>
      <c r="D40" s="544"/>
      <c r="E40" s="544"/>
      <c r="F40" s="544"/>
      <c r="G40" s="544"/>
      <c r="H40" s="544"/>
      <c r="I40" s="544"/>
      <c r="J40" s="544"/>
      <c r="K40" s="544"/>
      <c r="L40" s="544"/>
      <c r="M40" s="544"/>
      <c r="N40" s="544"/>
      <c r="O40" s="544"/>
      <c r="P40" s="545"/>
      <c r="Q40" s="545"/>
      <c r="R40" s="447"/>
      <c r="S40" s="447"/>
      <c r="T40" s="497"/>
      <c r="U40" s="497"/>
      <c r="V40" s="497"/>
      <c r="W40" s="497"/>
      <c r="X40" s="497"/>
      <c r="Y40" s="497"/>
      <c r="Z40" s="497"/>
      <c r="AA40" s="497"/>
      <c r="AB40" s="6"/>
      <c r="AC40" s="549"/>
      <c r="AD40" s="549"/>
      <c r="AE40" s="549"/>
      <c r="AF40" s="447"/>
      <c r="AG40" s="560"/>
      <c r="AH40" s="8"/>
      <c r="AI40"/>
      <c r="AK40" s="1"/>
      <c r="AL40" s="622" t="str">
        <f t="shared" si="0"/>
        <v/>
      </c>
      <c r="AM40" s="568"/>
      <c r="AN40" s="569"/>
      <c r="AO40" s="1"/>
      <c r="AP40" s="1"/>
      <c r="AQ40"/>
      <c r="AR40"/>
      <c r="AS40"/>
      <c r="AT40"/>
      <c r="AU40"/>
      <c r="AV40"/>
      <c r="AW40"/>
      <c r="AX40"/>
      <c r="AY40"/>
      <c r="AZ40"/>
    </row>
    <row r="41" spans="1:52" ht="24" customHeight="1" thickBot="1">
      <c r="A41" s="2"/>
      <c r="B41" s="215" t="s">
        <v>262</v>
      </c>
      <c r="C41" s="6"/>
      <c r="D41" s="616" t="s">
        <v>759</v>
      </c>
      <c r="E41" s="617"/>
      <c r="F41" s="617"/>
      <c r="G41" s="617"/>
      <c r="H41" s="617"/>
      <c r="I41" s="617"/>
      <c r="J41" s="617"/>
      <c r="K41" s="617"/>
      <c r="L41" s="617"/>
      <c r="M41" s="617"/>
      <c r="N41" s="617"/>
      <c r="O41" s="617"/>
      <c r="P41" s="618"/>
      <c r="Q41" s="618"/>
      <c r="R41" s="447"/>
      <c r="S41" s="497"/>
      <c r="T41" s="542" t="s">
        <v>614</v>
      </c>
      <c r="U41" s="542"/>
      <c r="V41" s="542"/>
      <c r="W41" s="542"/>
      <c r="X41" s="542"/>
      <c r="Y41" s="542"/>
      <c r="Z41" s="523">
        <f>will *3+compbonus</f>
        <v>9</v>
      </c>
      <c r="AA41" s="524"/>
      <c r="AB41" s="6"/>
      <c r="AC41" s="542" t="s">
        <v>613</v>
      </c>
      <c r="AD41" s="566"/>
      <c r="AE41" s="224">
        <f>endurance *3+healthbonus</f>
        <v>9</v>
      </c>
      <c r="AF41" s="447"/>
      <c r="AG41" s="3">
        <f>N(AND(B41="Benefit",D41&lt;&gt;""))</f>
        <v>1</v>
      </c>
      <c r="AI41"/>
      <c r="AK41" s="1"/>
      <c r="AL41" s="567" t="str">
        <f t="shared" si="0"/>
        <v>Re-roll 1s and add Agility rank to Sneak tests</v>
      </c>
      <c r="AM41" s="570"/>
      <c r="AN41" s="571"/>
      <c r="AO41" s="1"/>
      <c r="AP41" s="1"/>
      <c r="AQ41"/>
      <c r="AR41"/>
      <c r="AS41"/>
      <c r="AT41"/>
      <c r="AU41"/>
      <c r="AV41"/>
      <c r="AW41"/>
      <c r="AX41"/>
      <c r="AY41"/>
      <c r="AZ41"/>
    </row>
    <row r="42" spans="1:52" ht="24" customHeight="1" thickTop="1" thickBot="1">
      <c r="A42" s="2"/>
      <c r="B42" s="214" t="s">
        <v>174</v>
      </c>
      <c r="C42" s="290"/>
      <c r="D42" s="619"/>
      <c r="E42" s="620"/>
      <c r="F42" s="620"/>
      <c r="G42" s="620"/>
      <c r="H42" s="620"/>
      <c r="I42" s="620"/>
      <c r="J42" s="620"/>
      <c r="K42" s="620"/>
      <c r="L42" s="620"/>
      <c r="M42" s="620"/>
      <c r="N42" s="620"/>
      <c r="O42" s="620"/>
      <c r="P42" s="621"/>
      <c r="Q42" s="621"/>
      <c r="R42" s="447"/>
      <c r="S42" s="447"/>
      <c r="T42" s="540" t="s">
        <v>615</v>
      </c>
      <c r="U42" s="540"/>
      <c r="V42" s="540"/>
      <c r="W42" s="540"/>
      <c r="X42" s="540"/>
      <c r="Y42" s="540"/>
      <c r="Z42" s="540"/>
      <c r="AA42" s="540"/>
      <c r="AB42" s="6"/>
      <c r="AC42" s="539" t="s">
        <v>616</v>
      </c>
      <c r="AD42" s="539"/>
      <c r="AE42" s="539"/>
      <c r="AF42" s="6"/>
      <c r="AH42" s="3">
        <f t="shared" ref="AH42:AH49" si="1">IF(AND(B42="Flaw",D42&lt;&gt;""),VLOOKUP(D42,flawstable,5,FALSE),0)</f>
        <v>0</v>
      </c>
      <c r="AI42"/>
      <c r="AK42" s="1"/>
      <c r="AL42" s="567" t="str">
        <f t="shared" si="0"/>
        <v/>
      </c>
      <c r="AM42" s="568"/>
      <c r="AN42" s="569"/>
      <c r="AO42" s="1"/>
      <c r="AP42" s="1"/>
      <c r="AQ42"/>
      <c r="AR42"/>
      <c r="AS42"/>
      <c r="AT42"/>
      <c r="AU42"/>
      <c r="AV42"/>
      <c r="AW42"/>
      <c r="AX42"/>
      <c r="AY42"/>
      <c r="AZ42"/>
    </row>
    <row r="43" spans="1:52" ht="24" customHeight="1" thickTop="1" thickBot="1">
      <c r="A43" s="2"/>
      <c r="B43" s="212" t="s">
        <v>174</v>
      </c>
      <c r="C43" s="291"/>
      <c r="D43" s="543"/>
      <c r="E43" s="576"/>
      <c r="F43" s="576"/>
      <c r="G43" s="576"/>
      <c r="H43" s="576"/>
      <c r="I43" s="576"/>
      <c r="J43" s="576"/>
      <c r="K43" s="576"/>
      <c r="L43" s="576"/>
      <c r="M43" s="576"/>
      <c r="N43" s="576"/>
      <c r="O43" s="576"/>
      <c r="P43" s="576"/>
      <c r="Q43" s="576"/>
      <c r="R43" s="497"/>
      <c r="S43" s="497"/>
      <c r="T43" s="497"/>
      <c r="U43" s="497"/>
      <c r="V43" s="497"/>
      <c r="W43" s="497"/>
      <c r="X43" s="497"/>
      <c r="Y43" s="497"/>
      <c r="Z43" s="497"/>
      <c r="AA43" s="497"/>
      <c r="AB43" s="6"/>
      <c r="AC43" s="6"/>
      <c r="AD43" s="6"/>
      <c r="AE43" s="6"/>
      <c r="AF43" s="497"/>
      <c r="AH43" s="3">
        <f t="shared" si="1"/>
        <v>0</v>
      </c>
      <c r="AI43"/>
      <c r="AK43" s="1"/>
      <c r="AL43" s="567" t="str">
        <f t="shared" si="0"/>
        <v/>
      </c>
      <c r="AM43" s="587"/>
      <c r="AN43" s="588"/>
      <c r="AO43" s="1"/>
      <c r="AP43" s="1"/>
      <c r="AQ43"/>
      <c r="AR43"/>
      <c r="AS43"/>
      <c r="AT43"/>
      <c r="AU43"/>
      <c r="AV43"/>
      <c r="AW43"/>
      <c r="AX43"/>
      <c r="AY43"/>
      <c r="AZ43"/>
    </row>
    <row r="44" spans="1:52" ht="24" customHeight="1" thickBot="1">
      <c r="A44" s="2"/>
      <c r="B44" s="212" t="s">
        <v>174</v>
      </c>
      <c r="C44" s="291"/>
      <c r="D44" s="543"/>
      <c r="E44" s="544"/>
      <c r="F44" s="544"/>
      <c r="G44" s="544"/>
      <c r="H44" s="544"/>
      <c r="I44" s="544"/>
      <c r="J44" s="544"/>
      <c r="K44" s="544"/>
      <c r="L44" s="544"/>
      <c r="M44" s="544"/>
      <c r="N44" s="544"/>
      <c r="O44" s="544"/>
      <c r="P44" s="545"/>
      <c r="Q44" s="545"/>
      <c r="R44" s="497"/>
      <c r="S44" s="497"/>
      <c r="T44" s="546" t="s">
        <v>617</v>
      </c>
      <c r="U44" s="547"/>
      <c r="V44" s="547"/>
      <c r="W44" s="547"/>
      <c r="X44" s="547"/>
      <c r="Y44" s="548"/>
      <c r="Z44" s="523">
        <f>destiny+flaws-requiredflaws-benefits</f>
        <v>2</v>
      </c>
      <c r="AA44" s="550"/>
      <c r="AB44" s="226"/>
      <c r="AC44" s="595" t="s">
        <v>467</v>
      </c>
      <c r="AD44" s="596"/>
      <c r="AE44" s="597"/>
      <c r="AF44" s="497"/>
      <c r="AH44" s="3">
        <f t="shared" si="1"/>
        <v>0</v>
      </c>
      <c r="AI44"/>
      <c r="AK44" s="1"/>
      <c r="AL44" s="567" t="str">
        <f t="shared" si="0"/>
        <v/>
      </c>
      <c r="AM44" s="568"/>
      <c r="AN44" s="569"/>
      <c r="AO44" s="1"/>
      <c r="AP44" s="1"/>
      <c r="AQ44"/>
      <c r="AR44"/>
      <c r="AS44"/>
      <c r="AT44"/>
      <c r="AU44"/>
      <c r="AV44"/>
      <c r="AW44"/>
      <c r="AX44"/>
      <c r="AY44"/>
      <c r="AZ44"/>
    </row>
    <row r="45" spans="1:52" ht="24" customHeight="1" thickBot="1">
      <c r="A45" s="2"/>
      <c r="B45" s="212" t="s">
        <v>174</v>
      </c>
      <c r="C45" s="291"/>
      <c r="D45" s="543"/>
      <c r="E45" s="544"/>
      <c r="F45" s="544"/>
      <c r="G45" s="544"/>
      <c r="H45" s="544"/>
      <c r="I45" s="544"/>
      <c r="J45" s="544"/>
      <c r="K45" s="544"/>
      <c r="L45" s="544"/>
      <c r="M45" s="544"/>
      <c r="N45" s="544"/>
      <c r="O45" s="544"/>
      <c r="P45" s="545"/>
      <c r="Q45" s="545"/>
      <c r="R45" s="497"/>
      <c r="S45" s="497"/>
      <c r="T45" s="6"/>
      <c r="U45" s="6"/>
      <c r="V45" s="6"/>
      <c r="W45" s="6"/>
      <c r="X45" s="6"/>
      <c r="Y45" s="6"/>
      <c r="Z45" s="6"/>
      <c r="AA45" s="6"/>
      <c r="AB45" s="6"/>
      <c r="AC45" s="293">
        <f ca="1">IF(athletics=1, IF(SUMIF($N$12:$Q$14,"Run",L$12:$M$14)=0,3,4),4+ROUNDDOWN(SUMIF(N12:Q14,"Run",L12:M14)/2,0))+movebonus</f>
        <v>4</v>
      </c>
      <c r="AD45" s="295" t="s">
        <v>328</v>
      </c>
      <c r="AE45" s="294">
        <f ca="1">AC45*(sprintbonus+4)</f>
        <v>16</v>
      </c>
      <c r="AF45" s="6"/>
      <c r="AH45" s="3">
        <f t="shared" si="1"/>
        <v>0</v>
      </c>
      <c r="AI45"/>
      <c r="AK45" s="1"/>
      <c r="AL45" s="567" t="str">
        <f t="shared" si="0"/>
        <v/>
      </c>
      <c r="AM45" s="568"/>
      <c r="AN45" s="569"/>
      <c r="AO45" s="1"/>
      <c r="AP45" s="1"/>
      <c r="AQ45"/>
      <c r="AR45"/>
      <c r="AS45"/>
      <c r="AT45"/>
      <c r="AU45"/>
      <c r="AV45"/>
      <c r="AW45"/>
      <c r="AX45"/>
      <c r="AY45"/>
      <c r="AZ45"/>
    </row>
    <row r="46" spans="1:52" ht="21.95" customHeight="1">
      <c r="A46" s="447"/>
      <c r="B46" s="512" t="s">
        <v>174</v>
      </c>
      <c r="C46" s="615"/>
      <c r="D46" s="543"/>
      <c r="E46" s="543"/>
      <c r="F46" s="543"/>
      <c r="G46" s="543"/>
      <c r="H46" s="543"/>
      <c r="I46" s="543"/>
      <c r="J46" s="543"/>
      <c r="K46" s="543"/>
      <c r="L46" s="543"/>
      <c r="M46" s="543"/>
      <c r="N46" s="543"/>
      <c r="O46" s="543"/>
      <c r="P46" s="545"/>
      <c r="Q46" s="545"/>
      <c r="R46" s="6"/>
      <c r="S46" s="6"/>
      <c r="T46" s="6"/>
      <c r="U46" s="6"/>
      <c r="V46" s="6"/>
      <c r="W46" s="6"/>
      <c r="X46" s="6"/>
      <c r="Y46" s="6"/>
      <c r="Z46" s="6"/>
      <c r="AA46" s="6"/>
      <c r="AB46" s="6"/>
      <c r="AC46" s="6"/>
      <c r="AD46" s="6"/>
      <c r="AE46" s="6"/>
      <c r="AF46" s="6"/>
      <c r="AG46" s="560"/>
      <c r="AH46" s="560">
        <f t="shared" si="1"/>
        <v>0</v>
      </c>
      <c r="AI46"/>
      <c r="AK46" s="1"/>
      <c r="AL46" s="589" t="str">
        <f t="shared" si="0"/>
        <v/>
      </c>
      <c r="AM46" s="590"/>
      <c r="AN46" s="591"/>
      <c r="AO46" s="1"/>
      <c r="AP46" s="1"/>
      <c r="AQ46"/>
      <c r="AR46"/>
      <c r="AS46"/>
      <c r="AT46"/>
      <c r="AU46"/>
      <c r="AV46"/>
      <c r="AW46"/>
      <c r="AX46"/>
      <c r="AY46"/>
      <c r="AZ46"/>
    </row>
    <row r="47" spans="1:52" ht="2.4500000000000002" customHeight="1" thickBot="1">
      <c r="A47" s="447"/>
      <c r="B47" s="614"/>
      <c r="C47" s="593"/>
      <c r="D47" s="576"/>
      <c r="E47" s="576"/>
      <c r="F47" s="576"/>
      <c r="G47" s="576"/>
      <c r="H47" s="576"/>
      <c r="I47" s="576"/>
      <c r="J47" s="576"/>
      <c r="K47" s="576"/>
      <c r="L47" s="576"/>
      <c r="M47" s="576"/>
      <c r="N47" s="576"/>
      <c r="O47" s="576"/>
      <c r="P47" s="576"/>
      <c r="Q47" s="576"/>
      <c r="R47" s="6"/>
      <c r="S47" s="6"/>
      <c r="T47" s="6"/>
      <c r="U47" s="6"/>
      <c r="V47" s="6"/>
      <c r="W47" s="6"/>
      <c r="X47" s="6"/>
      <c r="Y47" s="6"/>
      <c r="Z47" s="6"/>
      <c r="AA47" s="6"/>
      <c r="AB47" s="6"/>
      <c r="AC47" s="6"/>
      <c r="AD47" s="6"/>
      <c r="AE47" s="6"/>
      <c r="AF47" s="6"/>
      <c r="AG47" s="560"/>
      <c r="AH47" s="560">
        <f t="shared" si="1"/>
        <v>0</v>
      </c>
      <c r="AI47"/>
      <c r="AK47" s="1"/>
      <c r="AL47" s="592"/>
      <c r="AM47" s="593"/>
      <c r="AN47" s="594"/>
      <c r="AO47" s="1"/>
      <c r="AP47" s="1"/>
      <c r="AQ47"/>
      <c r="AR47"/>
      <c r="AS47"/>
      <c r="AT47"/>
      <c r="AU47"/>
      <c r="AV47"/>
      <c r="AW47"/>
      <c r="AX47"/>
      <c r="AY47"/>
      <c r="AZ47"/>
    </row>
    <row r="48" spans="1:52" ht="24" customHeight="1" thickTop="1">
      <c r="A48" s="2"/>
      <c r="B48" s="212" t="s">
        <v>174</v>
      </c>
      <c r="C48" s="291"/>
      <c r="D48" s="543"/>
      <c r="E48" s="544"/>
      <c r="F48" s="544"/>
      <c r="G48" s="544"/>
      <c r="H48" s="544"/>
      <c r="I48" s="544"/>
      <c r="J48" s="544"/>
      <c r="K48" s="544"/>
      <c r="L48" s="544"/>
      <c r="M48" s="544"/>
      <c r="N48" s="544"/>
      <c r="O48" s="544"/>
      <c r="P48" s="545"/>
      <c r="Q48" s="545"/>
      <c r="R48" s="6"/>
      <c r="S48" s="6"/>
      <c r="T48" s="598" t="str">
        <f>IF(OR(AM10&lt;&gt;0,AM16&lt;&gt;0),"You haven't spent the right amount of Experience Points",IF(currentdestiny&lt;0,"You cannot have negative Destiny Points",IF(remainingflaws&gt;0,"You must take "&amp;remainingflaws&amp;" Flaw"&amp;IF(remainingflaws&gt;1,"s",""),"Character Generation Complete")))</f>
        <v>Character Generation Complete</v>
      </c>
      <c r="U48" s="599"/>
      <c r="V48" s="599"/>
      <c r="W48" s="599"/>
      <c r="X48" s="599"/>
      <c r="Y48" s="599"/>
      <c r="Z48" s="599"/>
      <c r="AA48" s="599"/>
      <c r="AB48" s="599"/>
      <c r="AC48" s="599"/>
      <c r="AD48" s="599"/>
      <c r="AE48" s="600"/>
      <c r="AF48" s="6"/>
      <c r="AH48" s="3">
        <f t="shared" si="1"/>
        <v>0</v>
      </c>
      <c r="AI48"/>
      <c r="AK48" s="1"/>
      <c r="AL48" s="567" t="str">
        <f>IF(D48="","",VLOOKUP(D48,allqualities,9,FALSE))</f>
        <v/>
      </c>
      <c r="AM48" s="568"/>
      <c r="AN48" s="569"/>
      <c r="AO48" s="1"/>
      <c r="AP48" s="1"/>
      <c r="AQ48"/>
      <c r="AR48"/>
      <c r="AS48"/>
      <c r="AT48"/>
      <c r="AU48"/>
      <c r="AV48"/>
      <c r="AW48"/>
      <c r="AX48"/>
      <c r="AY48"/>
      <c r="AZ48"/>
    </row>
    <row r="49" spans="1:50" ht="24" customHeight="1" thickBot="1">
      <c r="A49" s="1"/>
      <c r="B49" s="213" t="s">
        <v>174</v>
      </c>
      <c r="C49" s="292"/>
      <c r="D49" s="573"/>
      <c r="E49" s="574"/>
      <c r="F49" s="574"/>
      <c r="G49" s="574"/>
      <c r="H49" s="574"/>
      <c r="I49" s="574"/>
      <c r="J49" s="574"/>
      <c r="K49" s="574"/>
      <c r="L49" s="574"/>
      <c r="M49" s="574"/>
      <c r="N49" s="574"/>
      <c r="O49" s="574"/>
      <c r="P49" s="575"/>
      <c r="Q49" s="575"/>
      <c r="R49" s="6"/>
      <c r="S49" s="6"/>
      <c r="T49" s="601"/>
      <c r="U49" s="602"/>
      <c r="V49" s="602"/>
      <c r="W49" s="602"/>
      <c r="X49" s="602"/>
      <c r="Y49" s="602"/>
      <c r="Z49" s="602"/>
      <c r="AA49" s="602"/>
      <c r="AB49" s="602"/>
      <c r="AC49" s="602"/>
      <c r="AD49" s="602"/>
      <c r="AE49" s="603"/>
      <c r="AF49" s="6"/>
      <c r="AH49" s="3">
        <f t="shared" si="1"/>
        <v>0</v>
      </c>
      <c r="AI49"/>
      <c r="AK49" s="1"/>
      <c r="AL49" s="584" t="str">
        <f>IF(D49="","",VLOOKUP(D49,allqualities,9,FALSE))</f>
        <v/>
      </c>
      <c r="AM49" s="585"/>
      <c r="AN49" s="586"/>
      <c r="AO49" s="1"/>
      <c r="AP49" s="1"/>
    </row>
    <row r="50" spans="1:50" ht="6" customHeight="1" thickTop="1">
      <c r="A50" s="223"/>
      <c r="B50" s="223"/>
      <c r="C50" s="223"/>
      <c r="D50" s="223"/>
      <c r="E50" s="223"/>
      <c r="F50" s="223"/>
      <c r="G50" s="223"/>
      <c r="H50" s="223"/>
      <c r="I50" s="223"/>
      <c r="J50" s="223"/>
      <c r="K50" s="223"/>
      <c r="L50" s="223"/>
      <c r="M50" s="223"/>
      <c r="N50" s="223"/>
      <c r="O50" s="223"/>
      <c r="P50" s="223"/>
      <c r="Q50" s="223"/>
      <c r="R50" s="223"/>
      <c r="S50" s="223"/>
      <c r="T50" s="79"/>
      <c r="U50" s="79"/>
      <c r="V50" s="79"/>
      <c r="W50" s="206"/>
      <c r="X50" s="206"/>
      <c r="Y50" s="206"/>
      <c r="Z50" s="206"/>
      <c r="AA50" s="206"/>
      <c r="AB50" s="206"/>
      <c r="AC50" s="206"/>
      <c r="AD50" s="206"/>
      <c r="AE50" s="206"/>
      <c r="AF50" s="223"/>
      <c r="AG50" s="3">
        <f>SUM(AG38:AG44)</f>
        <v>3</v>
      </c>
      <c r="AH50" s="3">
        <f>SUM(AH42:AH49)</f>
        <v>0</v>
      </c>
      <c r="AK50" s="1"/>
      <c r="AL50" s="1"/>
      <c r="AM50" s="1"/>
      <c r="AN50" s="1"/>
      <c r="AO50" s="1"/>
      <c r="AP50" s="1"/>
    </row>
    <row r="51" spans="1:50" customFormat="1" ht="6" customHeight="1">
      <c r="A51" s="203"/>
      <c r="B51" s="203"/>
      <c r="C51" s="203"/>
      <c r="D51" s="203"/>
      <c r="E51" s="203"/>
      <c r="F51" s="203"/>
      <c r="G51" s="203"/>
      <c r="H51" s="203"/>
      <c r="I51" s="203"/>
      <c r="J51" s="203"/>
      <c r="K51" s="203"/>
      <c r="L51" s="203"/>
      <c r="M51" s="203"/>
      <c r="N51" s="203"/>
      <c r="O51" s="203"/>
      <c r="P51" s="203"/>
      <c r="Q51" s="203"/>
      <c r="R51" s="203"/>
      <c r="S51" s="203"/>
      <c r="T51" s="14"/>
      <c r="U51" s="14"/>
      <c r="V51" s="14"/>
      <c r="W51" s="203"/>
      <c r="X51" s="203"/>
      <c r="Y51" s="203"/>
      <c r="Z51" s="203"/>
      <c r="AA51" s="203"/>
      <c r="AB51" s="203"/>
      <c r="AC51" s="203"/>
      <c r="AD51" s="203"/>
      <c r="AE51" s="203"/>
      <c r="AF51" s="203"/>
      <c r="AG51" s="3"/>
      <c r="AH51" s="3"/>
      <c r="AI51" s="3"/>
      <c r="AJ51" s="3"/>
      <c r="AK51" s="1"/>
      <c r="AL51" s="1"/>
      <c r="AM51" s="1"/>
      <c r="AN51" s="1"/>
      <c r="AO51" s="1"/>
      <c r="AP51" s="1"/>
    </row>
    <row r="52" spans="1:50" customFormat="1" ht="6" customHeight="1" thickBo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50" ht="6" customHeight="1">
      <c r="A53" s="1"/>
      <c r="B53" s="390"/>
      <c r="C53" s="391"/>
      <c r="D53" s="391"/>
      <c r="E53" s="391"/>
      <c r="F53" s="391"/>
      <c r="G53" s="391"/>
      <c r="H53" s="391"/>
      <c r="I53" s="391"/>
      <c r="J53" s="391"/>
      <c r="K53" s="391"/>
      <c r="L53" s="391"/>
      <c r="M53" s="391"/>
      <c r="N53" s="391"/>
      <c r="O53" s="391"/>
      <c r="P53" s="391"/>
      <c r="Q53" s="391"/>
      <c r="R53" s="391"/>
      <c r="S53" s="391"/>
      <c r="T53" s="392"/>
      <c r="U53" s="392"/>
      <c r="V53" s="392"/>
      <c r="W53" s="391"/>
      <c r="X53" s="391"/>
      <c r="Y53" s="391"/>
      <c r="Z53" s="391"/>
      <c r="AA53" s="391"/>
      <c r="AB53" s="391"/>
      <c r="AC53" s="393"/>
      <c r="AD53" s="1"/>
      <c r="AE53" s="1"/>
      <c r="AF53" s="1"/>
      <c r="AG53" s="1"/>
      <c r="AH53" s="1"/>
      <c r="AI53" s="1"/>
      <c r="AJ53" s="1"/>
      <c r="AK53" s="1"/>
      <c r="AL53" s="1"/>
      <c r="AM53" s="1"/>
      <c r="AN53" s="1"/>
      <c r="AO53" s="1"/>
      <c r="AP53" s="1"/>
    </row>
    <row r="54" spans="1:50" ht="13.5" customHeight="1">
      <c r="A54" s="1"/>
      <c r="B54" s="530" t="s">
        <v>316</v>
      </c>
      <c r="C54" s="531"/>
      <c r="D54" s="531"/>
      <c r="E54" s="531"/>
      <c r="F54" s="531"/>
      <c r="G54" s="531"/>
      <c r="H54" s="531"/>
      <c r="I54" s="396"/>
      <c r="J54" s="532">
        <f>IF(agecategory="","",VLOOKUP(agecategory,agetable,5,FALSE))</f>
        <v>5</v>
      </c>
      <c r="K54" s="517"/>
      <c r="L54" s="518"/>
      <c r="M54" s="396"/>
      <c r="N54" s="396"/>
      <c r="O54" s="396"/>
      <c r="P54" s="396"/>
      <c r="Q54" s="396"/>
      <c r="R54" s="396"/>
      <c r="S54" s="396"/>
      <c r="T54" s="397"/>
      <c r="U54" s="397"/>
      <c r="V54" s="397"/>
      <c r="W54" s="396"/>
      <c r="X54" s="396"/>
      <c r="Y54" s="396"/>
      <c r="Z54" s="396"/>
      <c r="AA54" s="396"/>
      <c r="AB54" s="396"/>
      <c r="AC54" s="398"/>
      <c r="AD54" s="1"/>
      <c r="AE54" s="1"/>
      <c r="AF54" s="1"/>
      <c r="AG54" s="1"/>
      <c r="AH54" s="1"/>
      <c r="AI54" s="1"/>
      <c r="AJ54" s="1"/>
      <c r="AK54" s="1"/>
      <c r="AL54" s="1"/>
      <c r="AM54" s="1"/>
      <c r="AN54" s="1"/>
      <c r="AO54" s="1"/>
      <c r="AP54" s="1"/>
    </row>
    <row r="55" spans="1:50" ht="3.95" customHeight="1">
      <c r="A55" s="1"/>
      <c r="B55" s="394"/>
      <c r="C55" s="395"/>
      <c r="D55" s="395"/>
      <c r="E55" s="395"/>
      <c r="F55" s="395"/>
      <c r="G55" s="395"/>
      <c r="H55" s="395"/>
      <c r="I55" s="396"/>
      <c r="J55" s="399"/>
      <c r="K55" s="395"/>
      <c r="L55" s="395"/>
      <c r="M55" s="396"/>
      <c r="N55" s="396"/>
      <c r="O55" s="396"/>
      <c r="P55" s="396"/>
      <c r="Q55" s="396"/>
      <c r="R55" s="396"/>
      <c r="S55" s="396"/>
      <c r="T55" s="397"/>
      <c r="U55" s="397"/>
      <c r="V55" s="397"/>
      <c r="W55" s="396"/>
      <c r="X55" s="396"/>
      <c r="Y55" s="396"/>
      <c r="Z55" s="396"/>
      <c r="AA55" s="396"/>
      <c r="AB55" s="396"/>
      <c r="AC55" s="398"/>
      <c r="AD55" s="1"/>
      <c r="AE55" s="1"/>
      <c r="AF55" s="1"/>
      <c r="AG55" s="1"/>
      <c r="AH55" s="1"/>
      <c r="AI55" s="1"/>
      <c r="AJ55" s="1"/>
      <c r="AK55" s="1"/>
      <c r="AL55" s="1"/>
      <c r="AM55" s="1"/>
      <c r="AN55" s="1"/>
      <c r="AO55" s="1"/>
      <c r="AP55" s="1"/>
    </row>
    <row r="56" spans="1:50" ht="15" customHeight="1">
      <c r="A56" s="1"/>
      <c r="B56" s="530" t="s">
        <v>249</v>
      </c>
      <c r="C56" s="531"/>
      <c r="D56" s="531"/>
      <c r="E56" s="531"/>
      <c r="F56" s="531"/>
      <c r="G56" s="531"/>
      <c r="H56" s="531"/>
      <c r="I56" s="396"/>
      <c r="J56" s="532">
        <f>IF(agecategory="","",VLOOKUP(agecategory,agetable,6,FALSE))</f>
        <v>3</v>
      </c>
      <c r="K56" s="517"/>
      <c r="L56" s="518"/>
      <c r="M56" s="396"/>
      <c r="N56" s="535" t="s">
        <v>250</v>
      </c>
      <c r="O56" s="531"/>
      <c r="P56" s="531"/>
      <c r="Q56" s="532">
        <f>IF(agecategory="","",VLOOKUP(agecategory,agetable,8,FALSE))</f>
        <v>0</v>
      </c>
      <c r="R56" s="517"/>
      <c r="S56" s="518"/>
      <c r="T56" s="516">
        <f>IF(agecategory="","",VLOOKUP(agecategory,agetable,7,FALSE))</f>
        <v>0</v>
      </c>
      <c r="U56" s="517"/>
      <c r="V56" s="517"/>
      <c r="W56" s="517"/>
      <c r="X56" s="517"/>
      <c r="Y56" s="517"/>
      <c r="Z56" s="517"/>
      <c r="AA56" s="517"/>
      <c r="AB56" s="518"/>
      <c r="AC56" s="404">
        <f>IF(T48="Character Generation Complete",1,0)</f>
        <v>1</v>
      </c>
      <c r="AD56" s="1"/>
      <c r="AE56" s="1"/>
      <c r="AF56" s="1"/>
      <c r="AG56" s="1"/>
      <c r="AH56" s="1"/>
      <c r="AI56" s="1"/>
      <c r="AJ56" s="1"/>
      <c r="AK56" s="1"/>
      <c r="AL56" s="1"/>
      <c r="AM56" s="1"/>
      <c r="AN56" s="1"/>
      <c r="AO56" s="1"/>
      <c r="AP56" s="1"/>
    </row>
    <row r="57" spans="1:50" ht="15" customHeight="1">
      <c r="A57" s="1"/>
      <c r="B57" s="533" t="s">
        <v>317</v>
      </c>
      <c r="C57" s="531"/>
      <c r="D57" s="531"/>
      <c r="E57" s="531"/>
      <c r="F57" s="531"/>
      <c r="G57" s="531"/>
      <c r="H57" s="531"/>
      <c r="I57" s="396"/>
      <c r="J57" s="534">
        <f>MAX(0,permittedbens-benefits)</f>
        <v>0</v>
      </c>
      <c r="K57" s="517"/>
      <c r="L57" s="518"/>
      <c r="M57" s="396"/>
      <c r="N57" s="536" t="s">
        <v>269</v>
      </c>
      <c r="O57" s="531"/>
      <c r="P57" s="531"/>
      <c r="Q57" s="534">
        <f>MAX(0,requiredflaws-flaws)</f>
        <v>0</v>
      </c>
      <c r="R57" s="517"/>
      <c r="S57" s="518"/>
      <c r="T57" s="395"/>
      <c r="U57" s="396"/>
      <c r="V57" s="396"/>
      <c r="W57" s="396"/>
      <c r="X57" s="396"/>
      <c r="Y57" s="396"/>
      <c r="Z57" s="396"/>
      <c r="AA57" s="396"/>
      <c r="AB57" s="396"/>
      <c r="AC57" s="398"/>
      <c r="AD57" s="1"/>
      <c r="AE57" s="1"/>
      <c r="AF57" s="1"/>
      <c r="AG57" s="1"/>
      <c r="AH57" s="1"/>
      <c r="AI57" s="1"/>
      <c r="AJ57" s="1"/>
      <c r="AK57" s="1"/>
      <c r="AL57" s="1"/>
      <c r="AM57" s="1"/>
      <c r="AN57" s="1"/>
      <c r="AO57" s="1"/>
      <c r="AP57" s="1"/>
    </row>
    <row r="58" spans="1:50" ht="3" customHeight="1" thickBot="1">
      <c r="A58" s="1"/>
      <c r="B58" s="400"/>
      <c r="C58" s="401"/>
      <c r="D58" s="401"/>
      <c r="E58" s="401"/>
      <c r="F58" s="401"/>
      <c r="G58" s="401"/>
      <c r="H58" s="401"/>
      <c r="I58" s="401"/>
      <c r="J58" s="402"/>
      <c r="K58" s="401"/>
      <c r="L58" s="401"/>
      <c r="M58" s="401"/>
      <c r="N58" s="401"/>
      <c r="O58" s="401"/>
      <c r="P58" s="401"/>
      <c r="Q58" s="401"/>
      <c r="R58" s="401"/>
      <c r="S58" s="401"/>
      <c r="T58" s="401"/>
      <c r="U58" s="401"/>
      <c r="V58" s="401"/>
      <c r="W58" s="401"/>
      <c r="X58" s="401"/>
      <c r="Y58" s="401"/>
      <c r="Z58" s="401"/>
      <c r="AA58" s="401"/>
      <c r="AB58" s="401"/>
      <c r="AC58" s="403"/>
      <c r="AD58" s="1"/>
      <c r="AE58" s="1"/>
      <c r="AF58" s="1"/>
      <c r="AG58" s="1"/>
      <c r="AH58" s="1"/>
      <c r="AI58" s="1"/>
      <c r="AJ58" s="1"/>
      <c r="AK58" s="1"/>
      <c r="AL58" s="1"/>
      <c r="AM58" s="1"/>
      <c r="AN58" s="1"/>
      <c r="AO58" s="1"/>
      <c r="AP58" s="1"/>
    </row>
    <row r="59" spans="1:50"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91"/>
    </row>
    <row r="60" spans="1:50" ht="15" hidden="1" customHeight="1">
      <c r="A60"/>
      <c r="I60"/>
      <c r="M60"/>
      <c r="N60"/>
      <c r="O60"/>
      <c r="P60"/>
      <c r="Q60"/>
      <c r="R60"/>
      <c r="S60"/>
      <c r="U60" s="188"/>
      <c r="V60" s="188"/>
      <c r="W60" s="105"/>
      <c r="X60" s="105"/>
      <c r="Y60" s="105"/>
      <c r="Z60" s="105"/>
      <c r="AA60" s="105"/>
      <c r="AB60"/>
      <c r="AC60"/>
      <c r="AD60"/>
      <c r="AE60"/>
      <c r="AF60"/>
      <c r="AQ60" s="8"/>
    </row>
    <row r="61" spans="1:50" ht="15" hidden="1" customHeight="1">
      <c r="A61"/>
      <c r="B61"/>
      <c r="C61"/>
      <c r="D61"/>
      <c r="E61"/>
      <c r="F61"/>
      <c r="G61"/>
      <c r="H61"/>
      <c r="I61"/>
      <c r="J61"/>
      <c r="K61"/>
      <c r="L61"/>
      <c r="M61"/>
      <c r="N61"/>
      <c r="O61"/>
      <c r="P61"/>
      <c r="Q61"/>
      <c r="R61"/>
      <c r="S61"/>
      <c r="V61" s="105"/>
      <c r="W61" s="105"/>
      <c r="X61" s="105"/>
      <c r="Y61" s="105"/>
      <c r="AA61" s="105"/>
      <c r="AB61"/>
      <c r="AC61"/>
      <c r="AD61"/>
      <c r="AE61"/>
      <c r="AF61"/>
    </row>
    <row r="62" spans="1:50" ht="3" hidden="1" customHeight="1">
      <c r="A62"/>
      <c r="B62"/>
      <c r="C62"/>
      <c r="D62"/>
      <c r="E62"/>
      <c r="F62"/>
      <c r="G62"/>
      <c r="H62"/>
      <c r="I62"/>
      <c r="J62"/>
      <c r="K62"/>
      <c r="L62"/>
      <c r="M62"/>
      <c r="N62"/>
      <c r="O62"/>
      <c r="P62"/>
      <c r="Q62"/>
      <c r="R62"/>
      <c r="S62"/>
      <c r="T62"/>
      <c r="U62"/>
      <c r="V62"/>
      <c r="W62"/>
      <c r="X62"/>
      <c r="Y62"/>
      <c r="Z62"/>
      <c r="AA62"/>
      <c r="AB62"/>
      <c r="AC62"/>
      <c r="AD62"/>
      <c r="AE62"/>
      <c r="AF62"/>
      <c r="AU62"/>
      <c r="AV62"/>
      <c r="AW62"/>
      <c r="AX62"/>
    </row>
    <row r="63" spans="1:50" hidden="1">
      <c r="AU63"/>
      <c r="AV63"/>
      <c r="AW63"/>
      <c r="AX63"/>
    </row>
    <row r="64" spans="1:50" hidden="1">
      <c r="B64"/>
      <c r="C64"/>
      <c r="D64"/>
      <c r="E64"/>
      <c r="G64" s="7"/>
      <c r="H64" s="7"/>
      <c r="I64" s="7"/>
      <c r="J64" s="7"/>
      <c r="K64" s="7"/>
      <c r="L64" s="7"/>
      <c r="M64" s="7"/>
      <c r="N64" s="7"/>
      <c r="O64" s="7"/>
      <c r="AU64"/>
      <c r="AV64"/>
      <c r="AW64"/>
      <c r="AX64"/>
    </row>
  </sheetData>
  <sheetProtection sheet="1" objects="1" scenarios="1"/>
  <dataConsolidate/>
  <mergeCells count="332">
    <mergeCell ref="A46:A47"/>
    <mergeCell ref="AL43:AN43"/>
    <mergeCell ref="AL46:AN47"/>
    <mergeCell ref="AG46:AG47"/>
    <mergeCell ref="R44:S44"/>
    <mergeCell ref="AC44:AE44"/>
    <mergeCell ref="T48:AE49"/>
    <mergeCell ref="F2:U2"/>
    <mergeCell ref="Z2:AC2"/>
    <mergeCell ref="W2:Y2"/>
    <mergeCell ref="B46:B47"/>
    <mergeCell ref="C46:C47"/>
    <mergeCell ref="D39:Q40"/>
    <mergeCell ref="D41:Q41"/>
    <mergeCell ref="D42:Q42"/>
    <mergeCell ref="D43:Q43"/>
    <mergeCell ref="R45:S45"/>
    <mergeCell ref="AL39:AN40"/>
    <mergeCell ref="AM2:AN2"/>
    <mergeCell ref="AM4:AN4"/>
    <mergeCell ref="AL28:AM28"/>
    <mergeCell ref="AL29:AM29"/>
    <mergeCell ref="AL32:AM32"/>
    <mergeCell ref="D48:Q48"/>
    <mergeCell ref="AD24:AE24"/>
    <mergeCell ref="AD25:AE25"/>
    <mergeCell ref="AD18:AE18"/>
    <mergeCell ref="AD19:AE19"/>
    <mergeCell ref="AC20:AD20"/>
    <mergeCell ref="D49:Q49"/>
    <mergeCell ref="D46:Q47"/>
    <mergeCell ref="AL33:AM33"/>
    <mergeCell ref="AL36:AN37"/>
    <mergeCell ref="AL38:AN38"/>
    <mergeCell ref="AD30:AE30"/>
    <mergeCell ref="AD31:AE31"/>
    <mergeCell ref="AC37:AE37"/>
    <mergeCell ref="AC36:AE36"/>
    <mergeCell ref="AL45:AN45"/>
    <mergeCell ref="AL48:AN48"/>
    <mergeCell ref="AL49:AN49"/>
    <mergeCell ref="AH46:AH47"/>
    <mergeCell ref="N30:Q30"/>
    <mergeCell ref="R30:S30"/>
    <mergeCell ref="P37:Q37"/>
    <mergeCell ref="R31:S31"/>
    <mergeCell ref="R32:S32"/>
    <mergeCell ref="W30:AA31"/>
    <mergeCell ref="B54:H54"/>
    <mergeCell ref="J54:L54"/>
    <mergeCell ref="D45:Q45"/>
    <mergeCell ref="AC40:AE40"/>
    <mergeCell ref="Z44:AA44"/>
    <mergeCell ref="AL6:AM7"/>
    <mergeCell ref="AL8:AM8"/>
    <mergeCell ref="AL12:AM13"/>
    <mergeCell ref="AL14:AM14"/>
    <mergeCell ref="AG39:AG40"/>
    <mergeCell ref="AF39:AF41"/>
    <mergeCell ref="AF43:AF44"/>
    <mergeCell ref="B36:Q36"/>
    <mergeCell ref="D38:Q38"/>
    <mergeCell ref="R41:S41"/>
    <mergeCell ref="AC41:AD41"/>
    <mergeCell ref="R42:S42"/>
    <mergeCell ref="R43:S43"/>
    <mergeCell ref="AL44:AN44"/>
    <mergeCell ref="AL41:AN41"/>
    <mergeCell ref="AL42:AN42"/>
    <mergeCell ref="T43:U43"/>
    <mergeCell ref="AD23:AE23"/>
    <mergeCell ref="AD27:AE27"/>
    <mergeCell ref="AC38:AD38"/>
    <mergeCell ref="T40:AA40"/>
    <mergeCell ref="Z32:AA32"/>
    <mergeCell ref="U34:AA34"/>
    <mergeCell ref="AD34:AE34"/>
    <mergeCell ref="AD33:AE33"/>
    <mergeCell ref="B56:H56"/>
    <mergeCell ref="J56:L56"/>
    <mergeCell ref="B57:H57"/>
    <mergeCell ref="J57:L57"/>
    <mergeCell ref="Q56:S56"/>
    <mergeCell ref="Q57:S57"/>
    <mergeCell ref="N56:P56"/>
    <mergeCell ref="N57:P57"/>
    <mergeCell ref="AC39:AE39"/>
    <mergeCell ref="AC42:AE42"/>
    <mergeCell ref="T39:AA39"/>
    <mergeCell ref="T41:Y41"/>
    <mergeCell ref="Z41:AA41"/>
    <mergeCell ref="D44:Q44"/>
    <mergeCell ref="R39:S40"/>
    <mergeCell ref="T44:Y44"/>
    <mergeCell ref="T42:AA42"/>
    <mergeCell ref="V43:W43"/>
    <mergeCell ref="T56:AB56"/>
    <mergeCell ref="U35:AA35"/>
    <mergeCell ref="T36:AA36"/>
    <mergeCell ref="T38:Y38"/>
    <mergeCell ref="Z38:AA38"/>
    <mergeCell ref="W6:AA7"/>
    <mergeCell ref="W9:AA10"/>
    <mergeCell ref="W12:AA13"/>
    <mergeCell ref="W15:AA16"/>
    <mergeCell ref="Z29:AA29"/>
    <mergeCell ref="W26:Y26"/>
    <mergeCell ref="Z26:AA26"/>
    <mergeCell ref="Z17:AA17"/>
    <mergeCell ref="W17:Y17"/>
    <mergeCell ref="W23:Y23"/>
    <mergeCell ref="T37:AA37"/>
    <mergeCell ref="Z43:AA43"/>
    <mergeCell ref="X43:Y43"/>
    <mergeCell ref="T30:U32"/>
    <mergeCell ref="U33:AA33"/>
    <mergeCell ref="V30:V32"/>
    <mergeCell ref="W21:AA22"/>
    <mergeCell ref="W24:AA25"/>
    <mergeCell ref="T27:U29"/>
    <mergeCell ref="A33:A35"/>
    <mergeCell ref="L34:M34"/>
    <mergeCell ref="A30:A32"/>
    <mergeCell ref="R33:S33"/>
    <mergeCell ref="R35:S35"/>
    <mergeCell ref="B39:B40"/>
    <mergeCell ref="R34:S34"/>
    <mergeCell ref="A39:A40"/>
    <mergeCell ref="R36:S36"/>
    <mergeCell ref="L33:M33"/>
    <mergeCell ref="L32:M32"/>
    <mergeCell ref="L30:M30"/>
    <mergeCell ref="D32:G32"/>
    <mergeCell ref="H32:J32"/>
    <mergeCell ref="C39:C40"/>
    <mergeCell ref="C33:C35"/>
    <mergeCell ref="L35:M35"/>
    <mergeCell ref="N35:Q35"/>
    <mergeCell ref="D37:O37"/>
    <mergeCell ref="B30:B32"/>
    <mergeCell ref="B33:B35"/>
    <mergeCell ref="D30:J31"/>
    <mergeCell ref="D33:J34"/>
    <mergeCell ref="N33:Q33"/>
    <mergeCell ref="D35:G35"/>
    <mergeCell ref="H35:J35"/>
    <mergeCell ref="C24:C26"/>
    <mergeCell ref="C27:C29"/>
    <mergeCell ref="L21:M21"/>
    <mergeCell ref="L22:M22"/>
    <mergeCell ref="L23:M23"/>
    <mergeCell ref="N21:Q21"/>
    <mergeCell ref="L27:M27"/>
    <mergeCell ref="L25:M25"/>
    <mergeCell ref="L28:M28"/>
    <mergeCell ref="L24:M24"/>
    <mergeCell ref="H26:J26"/>
    <mergeCell ref="L29:M29"/>
    <mergeCell ref="D23:G23"/>
    <mergeCell ref="H23:J23"/>
    <mergeCell ref="D21:J22"/>
    <mergeCell ref="D29:G29"/>
    <mergeCell ref="H29:J29"/>
    <mergeCell ref="D26:G26"/>
    <mergeCell ref="D27:J28"/>
    <mergeCell ref="N34:Q34"/>
    <mergeCell ref="C30:C32"/>
    <mergeCell ref="N32:Q32"/>
    <mergeCell ref="A27:A29"/>
    <mergeCell ref="B27:B29"/>
    <mergeCell ref="A21:A23"/>
    <mergeCell ref="A6:A8"/>
    <mergeCell ref="A9:A11"/>
    <mergeCell ref="A12:A14"/>
    <mergeCell ref="A15:A17"/>
    <mergeCell ref="A24:A26"/>
    <mergeCell ref="B24:B26"/>
    <mergeCell ref="A18:A20"/>
    <mergeCell ref="B9:B11"/>
    <mergeCell ref="B12:B14"/>
    <mergeCell ref="B15:B17"/>
    <mergeCell ref="B21:B23"/>
    <mergeCell ref="F3:H3"/>
    <mergeCell ref="N23:Q23"/>
    <mergeCell ref="C12:C14"/>
    <mergeCell ref="H11:J11"/>
    <mergeCell ref="L14:M14"/>
    <mergeCell ref="L6:M6"/>
    <mergeCell ref="L7:M7"/>
    <mergeCell ref="L8:M8"/>
    <mergeCell ref="L9:M9"/>
    <mergeCell ref="N22:Q22"/>
    <mergeCell ref="L5:Q5"/>
    <mergeCell ref="D6:J7"/>
    <mergeCell ref="H8:J8"/>
    <mergeCell ref="D8:G8"/>
    <mergeCell ref="B3:D3"/>
    <mergeCell ref="C18:C20"/>
    <mergeCell ref="L12:M12"/>
    <mergeCell ref="L13:M13"/>
    <mergeCell ref="L17:P17"/>
    <mergeCell ref="B18:B20"/>
    <mergeCell ref="L19:M19"/>
    <mergeCell ref="L20:M20"/>
    <mergeCell ref="H17:J17"/>
    <mergeCell ref="H20:J20"/>
    <mergeCell ref="C15:C17"/>
    <mergeCell ref="C9:C11"/>
    <mergeCell ref="D17:G17"/>
    <mergeCell ref="N27:Q27"/>
    <mergeCell ref="D24:J25"/>
    <mergeCell ref="N25:Q25"/>
    <mergeCell ref="N24:Q24"/>
    <mergeCell ref="N13:Q13"/>
    <mergeCell ref="D11:G11"/>
    <mergeCell ref="D9:J10"/>
    <mergeCell ref="N10:Q10"/>
    <mergeCell ref="N11:Q11"/>
    <mergeCell ref="N12:Q12"/>
    <mergeCell ref="D12:J13"/>
    <mergeCell ref="D15:J16"/>
    <mergeCell ref="D18:J19"/>
    <mergeCell ref="D20:G20"/>
    <mergeCell ref="L18:M18"/>
    <mergeCell ref="C21:C23"/>
    <mergeCell ref="W29:Y29"/>
    <mergeCell ref="T21:U23"/>
    <mergeCell ref="T18:U20"/>
    <mergeCell ref="N31:Q31"/>
    <mergeCell ref="L26:P26"/>
    <mergeCell ref="D14:G14"/>
    <mergeCell ref="H14:J14"/>
    <mergeCell ref="R14:S14"/>
    <mergeCell ref="R15:S15"/>
    <mergeCell ref="R18:S18"/>
    <mergeCell ref="L31:M31"/>
    <mergeCell ref="R7:S7"/>
    <mergeCell ref="R8:S8"/>
    <mergeCell ref="N6:Q6"/>
    <mergeCell ref="N7:Q7"/>
    <mergeCell ref="N8:Q8"/>
    <mergeCell ref="J3:O3"/>
    <mergeCell ref="C6:C8"/>
    <mergeCell ref="AD1:AE3"/>
    <mergeCell ref="AD6:AE6"/>
    <mergeCell ref="AD7:AE7"/>
    <mergeCell ref="T5:U5"/>
    <mergeCell ref="B4:AE4"/>
    <mergeCell ref="AC5:AE5"/>
    <mergeCell ref="T6:U8"/>
    <mergeCell ref="B6:B8"/>
    <mergeCell ref="R6:S6"/>
    <mergeCell ref="AD8:AE8"/>
    <mergeCell ref="B2:D2"/>
    <mergeCell ref="W3:AC3"/>
    <mergeCell ref="D5:J5"/>
    <mergeCell ref="W5:AA5"/>
    <mergeCell ref="P3:Q3"/>
    <mergeCell ref="S3:U3"/>
    <mergeCell ref="B1:D1"/>
    <mergeCell ref="R37:S38"/>
    <mergeCell ref="AD13:AE13"/>
    <mergeCell ref="W8:Y8"/>
    <mergeCell ref="T9:U11"/>
    <mergeCell ref="T12:U14"/>
    <mergeCell ref="V9:V11"/>
    <mergeCell ref="V6:V8"/>
    <mergeCell ref="N9:Q9"/>
    <mergeCell ref="W14:Y14"/>
    <mergeCell ref="V12:V14"/>
    <mergeCell ref="N14:Q14"/>
    <mergeCell ref="Z8:AA8"/>
    <mergeCell ref="R11:S11"/>
    <mergeCell ref="AD14:AE14"/>
    <mergeCell ref="W32:Y32"/>
    <mergeCell ref="AD21:AE21"/>
    <mergeCell ref="AD32:AE32"/>
    <mergeCell ref="AD26:AE26"/>
    <mergeCell ref="AD22:AE22"/>
    <mergeCell ref="AD28:AE28"/>
    <mergeCell ref="AD29:AE29"/>
    <mergeCell ref="N28:Q28"/>
    <mergeCell ref="R29:S29"/>
    <mergeCell ref="N29:Q29"/>
    <mergeCell ref="AD9:AE9"/>
    <mergeCell ref="AD11:AE11"/>
    <mergeCell ref="R9:S9"/>
    <mergeCell ref="R10:S10"/>
    <mergeCell ref="L16:M16"/>
    <mergeCell ref="N16:Q16"/>
    <mergeCell ref="T15:U17"/>
    <mergeCell ref="N15:Q15"/>
    <mergeCell ref="L10:M10"/>
    <mergeCell ref="L11:M11"/>
    <mergeCell ref="AD12:AE12"/>
    <mergeCell ref="AD10:AE10"/>
    <mergeCell ref="Z11:AA11"/>
    <mergeCell ref="Z14:AA14"/>
    <mergeCell ref="W11:Y11"/>
    <mergeCell ref="V15:V17"/>
    <mergeCell ref="AD15:AE15"/>
    <mergeCell ref="AD16:AE16"/>
    <mergeCell ref="L15:M15"/>
    <mergeCell ref="R16:S16"/>
    <mergeCell ref="R17:S17"/>
    <mergeCell ref="R12:S12"/>
    <mergeCell ref="R13:S13"/>
    <mergeCell ref="AD17:AE17"/>
    <mergeCell ref="AD35:AE35"/>
    <mergeCell ref="N18:Q18"/>
    <mergeCell ref="T24:U26"/>
    <mergeCell ref="N19:Q19"/>
    <mergeCell ref="N20:Q20"/>
    <mergeCell ref="R28:S28"/>
    <mergeCell ref="R22:S22"/>
    <mergeCell ref="R26:S26"/>
    <mergeCell ref="R25:S25"/>
    <mergeCell ref="R23:S23"/>
    <mergeCell ref="R24:S24"/>
    <mergeCell ref="Z23:AA23"/>
    <mergeCell ref="Z20:AA20"/>
    <mergeCell ref="W18:AA19"/>
    <mergeCell ref="V27:V29"/>
    <mergeCell ref="R27:S27"/>
    <mergeCell ref="V18:V20"/>
    <mergeCell ref="V21:V23"/>
    <mergeCell ref="V24:V26"/>
    <mergeCell ref="W20:Y20"/>
    <mergeCell ref="R19:S19"/>
    <mergeCell ref="R20:S20"/>
    <mergeCell ref="R21:S21"/>
    <mergeCell ref="W27:AA28"/>
  </mergeCells>
  <phoneticPr fontId="1" type="noConversion"/>
  <conditionalFormatting sqref="AD6:AE19 AD21:AE35">
    <cfRule type="expression" dxfId="22" priority="1" stopIfTrue="1">
      <formula>AND($AC6&lt;&gt;"",$AD6="")</formula>
    </cfRule>
  </conditionalFormatting>
  <conditionalFormatting sqref="N18:Q25 N6:Q16 N27:Q35">
    <cfRule type="expression" dxfId="21" priority="2" stopIfTrue="1">
      <formula>AND($L6&lt;&gt;"",$N6="")</formula>
    </cfRule>
  </conditionalFormatting>
  <conditionalFormatting sqref="U33:AA35">
    <cfRule type="expression" dxfId="20" priority="3" stopIfTrue="1">
      <formula>AND($T33&lt;&gt;"",$U33="")</formula>
    </cfRule>
  </conditionalFormatting>
  <conditionalFormatting sqref="D8:J8 D11:J11 D14:J14 D17:J17 D20:J20 D23:J23 D26:J26 D29:J29 D32:J32 D35:J35">
    <cfRule type="expression" dxfId="19" priority="4" stopIfTrue="1">
      <formula>OR($D8&lt;&gt;$B6,$H8&lt;&gt;0)</formula>
    </cfRule>
  </conditionalFormatting>
  <conditionalFormatting sqref="W8:AA8 W11:AA11 W14:AA14 W17:AA17 W20:AA20 W23:AA23 W26:AA26 W29:AA29 W32:AA32">
    <cfRule type="expression" dxfId="18" priority="5" stopIfTrue="1">
      <formula>OR($W8&lt;&gt;$T6,$Z8&lt;&gt;0)</formula>
    </cfRule>
  </conditionalFormatting>
  <conditionalFormatting sqref="D43">
    <cfRule type="expression" dxfId="17" priority="6" stopIfTrue="1">
      <formula>AND($D43="",$D42&lt;&gt;"",remainingflaws&gt;0)</formula>
    </cfRule>
  </conditionalFormatting>
  <conditionalFormatting sqref="D46">
    <cfRule type="expression" dxfId="16" priority="7" stopIfTrue="1">
      <formula>AND($D46="",#REF!&gt;0)</formula>
    </cfRule>
  </conditionalFormatting>
  <conditionalFormatting sqref="D49:O49">
    <cfRule type="expression" dxfId="15" priority="8" stopIfTrue="1">
      <formula>AND($D$49="",#REF!&gt;2)</formula>
    </cfRule>
  </conditionalFormatting>
  <conditionalFormatting sqref="D48:O48">
    <cfRule type="expression" dxfId="14" priority="9" stopIfTrue="1">
      <formula>AND($D$48="",#REF!&gt;1)</formula>
    </cfRule>
  </conditionalFormatting>
  <conditionalFormatting sqref="D45:Q45">
    <cfRule type="expression" dxfId="13" priority="10" stopIfTrue="1">
      <formula>AND($D$45="",$D$44&lt;&gt;"",remainingflaws&gt;0)</formula>
    </cfRule>
  </conditionalFormatting>
  <conditionalFormatting sqref="D44:Q44">
    <cfRule type="expression" dxfId="12" priority="11" stopIfTrue="1">
      <formula>AND($D$44="",$D$43&lt;&gt;"",remainingflaws&gt;0)</formula>
    </cfRule>
  </conditionalFormatting>
  <conditionalFormatting sqref="D42:Q42">
    <cfRule type="expression" dxfId="11" priority="12" stopIfTrue="1">
      <formula>AND($D$42="",requiredflaws&gt;0)</formula>
    </cfRule>
  </conditionalFormatting>
  <conditionalFormatting sqref="AM35 AM31 AM10 AM16">
    <cfRule type="cellIs" dxfId="10" priority="13" stopIfTrue="1" operator="lessThan">
      <formula>0</formula>
    </cfRule>
    <cfRule type="cellIs" dxfId="9" priority="14" stopIfTrue="1" operator="greaterThan">
      <formula>0</formula>
    </cfRule>
  </conditionalFormatting>
  <conditionalFormatting sqref="T48">
    <cfRule type="cellIs" dxfId="8" priority="15" stopIfTrue="1" operator="equal">
      <formula>"Character Generation Complete"</formula>
    </cfRule>
  </conditionalFormatting>
  <dataValidations count="58">
    <dataValidation type="whole" allowBlank="1" showInputMessage="1" showErrorMessage="1" sqref="B6:B32">
      <formula1>1</formula1>
      <formula2>AH6</formula2>
    </dataValidation>
    <dataValidation type="whole" allowBlank="1" showInputMessage="1" showErrorMessage="1" sqref="T18:U19 T21:U22 T24:U25 T15:U16 T12:U13 T9:U10 T6:U7 T27:U28 T30:U31">
      <formula1>1</formula1>
      <formula2>AH7</formula2>
    </dataValidation>
    <dataValidation type="whole" allowBlank="1" showInputMessage="1" showErrorMessage="1" sqref="B33">
      <formula1>1</formula1>
      <formula2>AH32</formula2>
    </dataValidation>
    <dataValidation type="whole" allowBlank="1" showInputMessage="1" showErrorMessage="1" sqref="B35">
      <formula1>1</formula1>
      <formula2>AH33</formula2>
    </dataValidation>
    <dataValidation type="list" allowBlank="1" showInputMessage="1" showErrorMessage="1" sqref="D48:O48">
      <formula1>extra2</formula1>
    </dataValidation>
    <dataValidation type="list" allowBlank="1" showInputMessage="1" showErrorMessage="1" sqref="D49:O49">
      <formula1>extra3</formula1>
    </dataValidation>
    <dataValidation type="list" allowBlank="1" showInputMessage="1" showErrorMessage="1" sqref="D46:O46">
      <formula1>extra1</formula1>
    </dataValidation>
    <dataValidation type="list" allowBlank="1" showInputMessage="1" showErrorMessage="1" sqref="D45:O45">
      <formula1>flaw4</formula1>
    </dataValidation>
    <dataValidation type="list" allowBlank="1" showInputMessage="1" showErrorMessage="1" sqref="D44:O44">
      <formula1>flaw3</formula1>
    </dataValidation>
    <dataValidation type="list" allowBlank="1" showInputMessage="1" showErrorMessage="1" sqref="D43:Q43">
      <formula1>flaw2</formula1>
    </dataValidation>
    <dataValidation type="list" allowBlank="1" showInputMessage="1" showErrorMessage="1" sqref="D42:O42">
      <formula1>flaw1</formula1>
    </dataValidation>
    <dataValidation type="list" allowBlank="1" showDropDown="1" showInputMessage="1" showErrorMessage="1" sqref="AQ59">
      <formula1>chargencomplete</formula1>
    </dataValidation>
    <dataValidation type="list" allowBlank="1" showInputMessage="1" showErrorMessage="1" sqref="D41">
      <formula1>quality3</formula1>
    </dataValidation>
    <dataValidation type="list" allowBlank="1" showInputMessage="1" showErrorMessage="1" sqref="D38">
      <formula1>quality1</formula1>
    </dataValidation>
    <dataValidation type="list" allowBlank="1" showInputMessage="1" showErrorMessage="1" sqref="D39">
      <formula1>quality2</formula1>
    </dataValidation>
    <dataValidation type="whole" allowBlank="1" showInputMessage="1" showErrorMessage="1" sqref="AC33:AC35 L33:M35">
      <formula1>0</formula1>
      <formula2>maxability</formula2>
    </dataValidation>
    <dataValidation type="whole" allowBlank="1" showInputMessage="1" showErrorMessage="1" sqref="T33:T35">
      <formula1>1</formula1>
      <formula2>maxability</formula2>
    </dataValidation>
    <dataValidation type="list" allowBlank="1" showInputMessage="1" showErrorMessage="1" sqref="AD33:AE35 U33:AA35 N33:Q35">
      <formula1>languages</formula1>
    </dataValidation>
    <dataValidation type="whole" allowBlank="1" showInputMessage="1" showErrorMessage="1" sqref="B34">
      <formula1>1</formula1>
      <formula2>#REF!</formula2>
    </dataValidation>
    <dataValidation type="whole" allowBlank="1" showInputMessage="1" showErrorMessage="1" sqref="T32:U32 T26:U26 T20:U20 T23:U23 T17:U17 T14:U14 T11:U11 T8:U8 T29:U29">
      <formula1>1</formula1>
      <formula2>#REF!</formula2>
    </dataValidation>
    <dataValidation type="whole" allowBlank="1" showInputMessage="1" showErrorMessage="1" sqref="AC30:AC32">
      <formula1>0</formula1>
      <formula2>$T$30</formula2>
    </dataValidation>
    <dataValidation type="list" allowBlank="1" showInputMessage="1" showErrorMessage="1" sqref="AD30:AE32">
      <formula1>wills</formula1>
    </dataValidation>
    <dataValidation type="whole" allowBlank="1" showInputMessage="1" showErrorMessage="1" sqref="L30:M32">
      <formula1>0</formula1>
      <formula2>$B$30</formula2>
    </dataValidation>
    <dataValidation type="list" allowBlank="1" showInputMessage="1" showErrorMessage="1" sqref="N30:Q32">
      <formula1>healings</formula1>
    </dataValidation>
    <dataValidation type="whole" allowBlank="1" showInputMessage="1" showErrorMessage="1" sqref="AC27:AC29">
      <formula1>0</formula1>
      <formula2>$T$27</formula2>
    </dataValidation>
    <dataValidation type="list" allowBlank="1" showInputMessage="1" showErrorMessage="1" sqref="AD27:AE29">
      <formula1>warfares</formula1>
    </dataValidation>
    <dataValidation type="whole" allowBlank="1" showInputMessage="1" showErrorMessage="1" sqref="L27:M29">
      <formula1>0</formula1>
      <formula2>$B$27</formula2>
    </dataValidation>
    <dataValidation type="list" allowBlank="1" showInputMessage="1" showErrorMessage="1" sqref="N27:Q29">
      <formula1>fightings</formula1>
    </dataValidation>
    <dataValidation type="whole" allowBlank="1" showInputMessage="1" showErrorMessage="1" sqref="AC24:AC26">
      <formula1>0</formula1>
      <formula2>$T$24</formula2>
    </dataValidation>
    <dataValidation type="list" allowBlank="1" showInputMessage="1" showErrorMessage="1" sqref="AD24:AE26">
      <formula1>thieverys</formula1>
    </dataValidation>
    <dataValidation type="whole" allowBlank="1" showInputMessage="1" showErrorMessage="1" sqref="L24:M25">
      <formula1>0</formula1>
      <formula2>$B$24</formula2>
    </dataValidation>
    <dataValidation type="list" allowBlank="1" showInputMessage="1" showErrorMessage="1" sqref="N24:Q25">
      <formula1>endurances</formula1>
    </dataValidation>
    <dataValidation type="whole" allowBlank="1" showInputMessage="1" showErrorMessage="1" sqref="AC21:AC23">
      <formula1>0</formula1>
      <formula2>$T$21</formula2>
    </dataValidation>
    <dataValidation type="list" allowBlank="1" showInputMessage="1" showErrorMessage="1" sqref="AD21:AE23">
      <formula1>survivals</formula1>
    </dataValidation>
    <dataValidation type="whole" allowBlank="1" showInputMessage="1" showErrorMessage="1" sqref="L21:M23">
      <formula1>0</formula1>
      <formula2>$B$21</formula2>
    </dataValidation>
    <dataValidation type="list" allowBlank="1" showInputMessage="1" showErrorMessage="1" sqref="N21:Q23">
      <formula1>deceptions</formula1>
    </dataValidation>
    <dataValidation type="whole" allowBlank="1" showInputMessage="1" showErrorMessage="1" sqref="AC18:AC19">
      <formula1>0</formula1>
      <formula2>$T$18</formula2>
    </dataValidation>
    <dataValidation type="list" allowBlank="1" showInputMessage="1" showErrorMessage="1" sqref="AD18:AE19">
      <formula1>stealths</formula1>
    </dataValidation>
    <dataValidation type="whole" allowBlank="1" showInputMessage="1" showErrorMessage="1" sqref="L18:M20">
      <formula1>0</formula1>
      <formula2>$B$18</formula2>
    </dataValidation>
    <dataValidation type="list" allowBlank="1" showInputMessage="1" showErrorMessage="1" sqref="N18:Q20">
      <formula1>cunnings</formula1>
    </dataValidation>
    <dataValidation type="whole" allowBlank="1" showInputMessage="1" showErrorMessage="1" sqref="AC15:AC17">
      <formula1>0</formula1>
      <formula2>$T$15</formula2>
    </dataValidation>
    <dataValidation type="list" allowBlank="1" showInputMessage="1" showErrorMessage="1" sqref="AD15:AE17">
      <formula1>statuss</formula1>
    </dataValidation>
    <dataValidation type="whole" allowBlank="1" showInputMessage="1" showErrorMessage="1" sqref="L15:M17">
      <formula1>0</formula1>
      <formula2>$B$15</formula2>
    </dataValidation>
    <dataValidation type="list" allowBlank="1" showInputMessage="1" showErrorMessage="1" sqref="N15:Q16">
      <formula1>awarenesss</formula1>
    </dataValidation>
    <dataValidation type="whole" allowBlank="1" showInputMessage="1" showErrorMessage="1" sqref="AC12:AC14">
      <formula1>0</formula1>
      <formula2>$T$12</formula2>
    </dataValidation>
    <dataValidation type="list" allowBlank="1" showInputMessage="1" showErrorMessage="1" sqref="AD12:AE14">
      <formula1>persuasions</formula1>
    </dataValidation>
    <dataValidation type="whole" allowBlank="1" showInputMessage="1" showErrorMessage="1" sqref="L12:M14">
      <formula1>0</formula1>
      <formula2>$B$12</formula2>
    </dataValidation>
    <dataValidation type="list" allowBlank="1" showInputMessage="1" showErrorMessage="1" sqref="N12:Q14">
      <formula1>athleticss</formula1>
    </dataValidation>
    <dataValidation type="whole" allowBlank="1" showInputMessage="1" showErrorMessage="1" sqref="AC9:AC11">
      <formula1>0</formula1>
      <formula2>$T$9</formula2>
    </dataValidation>
    <dataValidation type="list" allowBlank="1" showInputMessage="1" showErrorMessage="1" sqref="AD9:AE11">
      <formula1>marksmanships</formula1>
    </dataValidation>
    <dataValidation type="whole" allowBlank="1" showInputMessage="1" showErrorMessage="1" sqref="L9:M11">
      <formula1>0</formula1>
      <formula2>$B$9</formula2>
    </dataValidation>
    <dataValidation type="list" allowBlank="1" showInputMessage="1" showErrorMessage="1" sqref="N9:Q11">
      <formula1>animals</formula1>
    </dataValidation>
    <dataValidation type="whole" allowBlank="1" showInputMessage="1" showErrorMessage="1" sqref="AC6:AC8">
      <formula1>0</formula1>
      <formula2>$T$6</formula2>
    </dataValidation>
    <dataValidation type="list" allowBlank="1" showInputMessage="1" showErrorMessage="1" sqref="AD6:AE8">
      <formula1>knowledges</formula1>
    </dataValidation>
    <dataValidation type="whole" allowBlank="1" showInputMessage="1" showErrorMessage="1" sqref="L6:M8">
      <formula1>0</formula1>
      <formula2>$B$6</formula2>
    </dataValidation>
    <dataValidation type="list" allowBlank="1" showInputMessage="1" showErrorMessage="1" sqref="N6:Q8">
      <formula1>agilitys</formula1>
    </dataValidation>
    <dataValidation type="list" allowBlank="1" showInputMessage="1" showErrorMessage="1" sqref="P3:Q3">
      <formula1>"Male, Female"</formula1>
    </dataValidation>
    <dataValidation type="whole" allowBlank="1" showInputMessage="1" showErrorMessage="1" sqref="F3:H3">
      <formula1>1</formula1>
      <formula2>99</formula2>
    </dataValidation>
  </dataValidations>
  <pageMargins left="0.39370078740157483" right="0.39370078740157483" top="0.70866141732283472" bottom="0.70866141732283472" header="0.31496062992125984" footer="0.27559055118110237"/>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BL61"/>
  <sheetViews>
    <sheetView showGridLines="0" tabSelected="1" zoomScale="110" workbookViewId="0">
      <selection activeCell="AM53" sqref="AM53"/>
    </sheetView>
  </sheetViews>
  <sheetFormatPr defaultColWidth="0" defaultRowHeight="13.5" zeroHeight="1"/>
  <cols>
    <col min="1" max="1" width="0.5703125" style="3" customWidth="1"/>
    <col min="2" max="2" width="8.28515625" style="3" customWidth="1"/>
    <col min="3" max="3" width="0.5703125" style="3" customWidth="1"/>
    <col min="4" max="4" width="2.7109375" style="3" customWidth="1"/>
    <col min="5" max="5" width="0.85546875" style="3" customWidth="1"/>
    <col min="6" max="6" width="4.28515625" style="3" customWidth="1"/>
    <col min="7" max="7" width="0.85546875" style="3" customWidth="1"/>
    <col min="8" max="8" width="3.28515625" style="3" customWidth="1"/>
    <col min="9" max="9" width="0.28515625" style="3" customWidth="1"/>
    <col min="10" max="10" width="1.7109375" style="3" customWidth="1"/>
    <col min="11" max="11" width="0.5703125" style="3" customWidth="1"/>
    <col min="12" max="12" width="3.28515625" style="3" customWidth="1"/>
    <col min="13" max="13" width="0.28515625" style="3" customWidth="1"/>
    <col min="14" max="14" width="4.28515625" style="3" customWidth="1"/>
    <col min="15" max="15" width="3.7109375" style="3" customWidth="1"/>
    <col min="16" max="16" width="8.28515625" style="3" customWidth="1"/>
    <col min="17" max="17" width="3.7109375" style="3" customWidth="1"/>
    <col min="18" max="18" width="0.28515625" style="3" customWidth="1"/>
    <col min="19" max="19" width="0.5703125" style="3" customWidth="1"/>
    <col min="20" max="21" width="4.7109375" style="3" customWidth="1"/>
    <col min="22" max="22" width="0.5703125" style="3" customWidth="1"/>
    <col min="23" max="23" width="3.7109375" style="3" customWidth="1"/>
    <col min="24" max="24" width="0.85546875" style="3" customWidth="1"/>
    <col min="25" max="25" width="4.7109375" style="3" customWidth="1"/>
    <col min="26" max="26" width="2.85546875" style="3" customWidth="1"/>
    <col min="27" max="27" width="2.42578125" style="3" customWidth="1"/>
    <col min="28" max="28" width="0.5703125" style="3" customWidth="1"/>
    <col min="29" max="29" width="4.28515625" style="3" customWidth="1"/>
    <col min="30" max="30" width="14" style="3" customWidth="1"/>
    <col min="31" max="31" width="4.28515625" style="3" customWidth="1"/>
    <col min="32" max="32" width="0.5703125" style="3" customWidth="1"/>
    <col min="33" max="33" width="15.140625" style="3" hidden="1" customWidth="1"/>
    <col min="34" max="34" width="13.140625" style="3" hidden="1" customWidth="1"/>
    <col min="35" max="35" width="10.140625" style="3" hidden="1" customWidth="1"/>
    <col min="36" max="36" width="4" style="3" hidden="1" customWidth="1"/>
    <col min="37" max="37" width="0.85546875" style="3" hidden="1" customWidth="1"/>
    <col min="38" max="38" width="0.5703125" style="3" customWidth="1"/>
    <col min="39" max="39" width="16.5703125" style="3" customWidth="1"/>
    <col min="40" max="40" width="9.7109375" style="3" customWidth="1"/>
    <col min="41" max="41" width="0.85546875" style="3" customWidth="1"/>
    <col min="42" max="42" width="18" style="3" bestFit="1" customWidth="1"/>
    <col min="43" max="43" width="6.7109375" style="3" customWidth="1"/>
    <col min="44" max="44" width="8.28515625" style="3" customWidth="1"/>
    <col min="45" max="45" width="2" style="3" customWidth="1"/>
    <col min="46" max="46" width="4.28515625" style="3" hidden="1" customWidth="1"/>
    <col min="47" max="47" width="4.7109375" style="3" hidden="1" customWidth="1"/>
    <col min="48" max="48" width="3" style="3" hidden="1" customWidth="1"/>
    <col min="49" max="49" width="18.85546875" style="3" hidden="1" customWidth="1"/>
    <col min="50" max="50" width="3" style="3" hidden="1" customWidth="1"/>
    <col min="51" max="51" width="2" style="3" hidden="1" customWidth="1"/>
    <col min="52" max="52" width="9.28515625" style="3" hidden="1" customWidth="1"/>
    <col min="53" max="53" width="2" style="3" hidden="1" customWidth="1"/>
    <col min="54" max="54" width="12.7109375" style="3" hidden="1" customWidth="1"/>
    <col min="55" max="55" width="3" style="3" hidden="1" customWidth="1"/>
    <col min="56" max="56" width="14.85546875" style="3" hidden="1" customWidth="1"/>
    <col min="57" max="57" width="2.7109375" style="3" hidden="1" customWidth="1"/>
    <col min="58" max="58" width="3" style="3" hidden="1" customWidth="1"/>
    <col min="59" max="59" width="4" style="3" hidden="1" customWidth="1"/>
    <col min="60" max="60" width="2" style="3" hidden="1" customWidth="1"/>
    <col min="61" max="62" width="14.85546875" style="3" hidden="1" customWidth="1"/>
    <col min="63" max="63" width="16.85546875" style="3" hidden="1" customWidth="1"/>
    <col min="64" max="16384" width="3.7109375" style="3" hidden="1"/>
  </cols>
  <sheetData>
    <row r="1" spans="1:64" ht="3" customHeight="1" thickBot="1">
      <c r="A1" s="339"/>
      <c r="B1" s="665"/>
      <c r="C1" s="665"/>
      <c r="D1" s="665"/>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475" t="s">
        <v>551</v>
      </c>
      <c r="AE1" s="476"/>
      <c r="AF1" s="339"/>
      <c r="AL1" s="1"/>
      <c r="AM1" s="1"/>
      <c r="AN1" s="1"/>
      <c r="AO1" s="1"/>
      <c r="AP1" s="1"/>
      <c r="AQ1" s="1"/>
      <c r="AR1" s="1"/>
      <c r="AS1" s="1"/>
    </row>
    <row r="2" spans="1:64" ht="18.75" thickTop="1" thickBot="1">
      <c r="A2" s="339"/>
      <c r="B2" s="666" t="s">
        <v>587</v>
      </c>
      <c r="C2" s="666"/>
      <c r="D2" s="667"/>
      <c r="E2" s="341"/>
      <c r="F2" s="679" t="s">
        <v>989</v>
      </c>
      <c r="G2" s="680"/>
      <c r="H2" s="680"/>
      <c r="I2" s="680"/>
      <c r="J2" s="680"/>
      <c r="K2" s="680"/>
      <c r="L2" s="680"/>
      <c r="M2" s="680"/>
      <c r="N2" s="680"/>
      <c r="O2" s="680"/>
      <c r="P2" s="680"/>
      <c r="Q2" s="680"/>
      <c r="R2" s="680"/>
      <c r="S2" s="680"/>
      <c r="T2" s="680"/>
      <c r="U2" s="680"/>
      <c r="V2" s="341"/>
      <c r="W2" s="673" t="s">
        <v>552</v>
      </c>
      <c r="X2" s="674"/>
      <c r="Y2" s="675"/>
      <c r="Z2" s="676" t="str">
        <f>CharGen!Z2</f>
        <v>GM</v>
      </c>
      <c r="AA2" s="677"/>
      <c r="AB2" s="677"/>
      <c r="AC2" s="678"/>
      <c r="AD2" s="476"/>
      <c r="AE2" s="476"/>
      <c r="AF2" s="339"/>
      <c r="AG2" s="227" t="s">
        <v>471</v>
      </c>
      <c r="AH2" s="200">
        <f>age</f>
        <v>14</v>
      </c>
      <c r="AL2" s="1"/>
      <c r="AM2" s="655" t="s">
        <v>460</v>
      </c>
      <c r="AN2" s="653">
        <v>30</v>
      </c>
      <c r="AO2" s="283"/>
      <c r="AP2" s="190" t="s">
        <v>457</v>
      </c>
      <c r="AQ2" s="662" t="s">
        <v>465</v>
      </c>
      <c r="AR2" s="663"/>
      <c r="AS2" s="1"/>
      <c r="AV2"/>
      <c r="AW2"/>
      <c r="AX2"/>
      <c r="AY2"/>
      <c r="AZ2"/>
      <c r="BA2"/>
    </row>
    <row r="3" spans="1:64" ht="18.75" thickTop="1" thickBot="1">
      <c r="A3" s="342"/>
      <c r="B3" s="666" t="s">
        <v>586</v>
      </c>
      <c r="C3" s="666"/>
      <c r="D3" s="667"/>
      <c r="E3" s="343"/>
      <c r="F3" s="668">
        <v>14</v>
      </c>
      <c r="G3" s="668"/>
      <c r="H3" s="669"/>
      <c r="I3" s="341"/>
      <c r="J3" s="670" t="s">
        <v>606</v>
      </c>
      <c r="K3" s="671"/>
      <c r="L3" s="671"/>
      <c r="M3" s="671"/>
      <c r="N3" s="671"/>
      <c r="O3" s="671"/>
      <c r="P3" s="672" t="str">
        <f>gender</f>
        <v>Male</v>
      </c>
      <c r="Q3" s="672"/>
      <c r="R3" s="341"/>
      <c r="S3" s="877" t="s">
        <v>607</v>
      </c>
      <c r="T3" s="671"/>
      <c r="U3" s="671"/>
      <c r="V3" s="341"/>
      <c r="W3" s="878" t="str">
        <f>CharGen!W3</f>
        <v>N/A</v>
      </c>
      <c r="X3" s="879"/>
      <c r="Y3" s="879"/>
      <c r="Z3" s="879"/>
      <c r="AA3" s="879"/>
      <c r="AB3" s="879"/>
      <c r="AC3" s="880"/>
      <c r="AD3" s="477"/>
      <c r="AE3" s="477"/>
      <c r="AF3" s="342"/>
      <c r="AG3" s="225" t="s">
        <v>620</v>
      </c>
      <c r="AH3" s="201" t="s">
        <v>320</v>
      </c>
      <c r="AL3" s="1"/>
      <c r="AM3" s="656"/>
      <c r="AN3" s="654"/>
      <c r="AO3" s="283"/>
      <c r="AP3" s="364"/>
      <c r="AQ3" s="649"/>
      <c r="AR3" s="650"/>
      <c r="AS3" s="1"/>
      <c r="AV3"/>
      <c r="AW3"/>
      <c r="AX3"/>
      <c r="AY3"/>
      <c r="AZ3"/>
      <c r="BA3"/>
      <c r="BD3" s="305" t="s">
        <v>485</v>
      </c>
      <c r="BF3" s="306">
        <f>COUNT(BF4:BF27)</f>
        <v>3</v>
      </c>
      <c r="BI3" s="875" t="s">
        <v>486</v>
      </c>
      <c r="BJ3" s="876"/>
      <c r="BK3"/>
      <c r="BL3"/>
    </row>
    <row r="4" spans="1:64" ht="18.75" thickTop="1" thickBot="1">
      <c r="A4" s="344"/>
      <c r="B4" s="681" t="s">
        <v>585</v>
      </c>
      <c r="C4" s="682"/>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4"/>
      <c r="AF4" s="345"/>
      <c r="AG4" s="225" t="s">
        <v>639</v>
      </c>
      <c r="AH4" s="230">
        <v>7</v>
      </c>
      <c r="AL4" s="1"/>
      <c r="AM4" s="279" t="s">
        <v>458</v>
      </c>
      <c r="AN4" s="280" t="s">
        <v>638</v>
      </c>
      <c r="AO4" s="284"/>
      <c r="AP4" s="1"/>
      <c r="AQ4" s="1"/>
      <c r="AR4" s="1"/>
      <c r="AS4" s="1"/>
      <c r="AV4"/>
      <c r="AW4"/>
      <c r="AX4"/>
      <c r="AY4"/>
      <c r="AZ4"/>
      <c r="BA4"/>
      <c r="BD4" s="308" t="str">
        <f>CharGen!D38</f>
        <v>Acrobatic Defence</v>
      </c>
      <c r="BE4" s="309">
        <v>1</v>
      </c>
      <c r="BF4" s="329">
        <f>IF(BD4=0,"",BE4)</f>
        <v>1</v>
      </c>
      <c r="BG4" s="322">
        <f>IF(BI4="","",COUNTIF(Tables!$AG$2:$AG$226,BI4)*BE4+COUNTIF(Tables!$AG$236:$AG$318,BI4)*99*BE4)</f>
        <v>1</v>
      </c>
      <c r="BH4" s="252">
        <f t="shared" ref="BH4:BH13" si="0">IF(BG4="","",RANK(BG4,$BG$4:$BG$13,TRUE))</f>
        <v>1</v>
      </c>
      <c r="BI4" s="310" t="str">
        <f t="shared" ref="BI4:BI13" si="1">IF(BE4&gt;$BF$3,"",INDEX($BD$4:$BD$27,SMALL($BF$4:$BF$27,BE4),1))</f>
        <v>Acrobatic Defence</v>
      </c>
      <c r="BJ4" s="310" t="str">
        <f>IF(BH4="","",VLOOKUP(BE4,$BH$4:$BI$13,2,FALSE))</f>
        <v>Acrobatic Defence</v>
      </c>
      <c r="BK4"/>
      <c r="BL4"/>
    </row>
    <row r="5" spans="1:64" ht="16.5" thickTop="1" thickBot="1">
      <c r="A5" s="344"/>
      <c r="B5" s="346" t="s">
        <v>584</v>
      </c>
      <c r="C5" s="347"/>
      <c r="D5" s="685" t="s">
        <v>583</v>
      </c>
      <c r="E5" s="686"/>
      <c r="F5" s="686"/>
      <c r="G5" s="686"/>
      <c r="H5" s="686"/>
      <c r="I5" s="686"/>
      <c r="J5" s="687"/>
      <c r="K5" s="347"/>
      <c r="L5" s="685" t="s">
        <v>596</v>
      </c>
      <c r="M5" s="685"/>
      <c r="N5" s="685"/>
      <c r="O5" s="685"/>
      <c r="P5" s="685"/>
      <c r="Q5" s="685"/>
      <c r="R5" s="347"/>
      <c r="S5" s="347"/>
      <c r="T5" s="685" t="s">
        <v>584</v>
      </c>
      <c r="U5" s="685"/>
      <c r="V5" s="347"/>
      <c r="W5" s="685" t="s">
        <v>583</v>
      </c>
      <c r="X5" s="685"/>
      <c r="Y5" s="685"/>
      <c r="Z5" s="685"/>
      <c r="AA5" s="685"/>
      <c r="AB5" s="347"/>
      <c r="AC5" s="685" t="s">
        <v>596</v>
      </c>
      <c r="AD5" s="685"/>
      <c r="AE5" s="688"/>
      <c r="AF5" s="344"/>
      <c r="AG5" s="225" t="s">
        <v>327</v>
      </c>
      <c r="AH5" s="201" t="str">
        <f>IF(COUNTIF(abilities,AG6)=1,AG6,"")</f>
        <v/>
      </c>
      <c r="AL5" s="1"/>
      <c r="AM5" s="281">
        <f>AN2-AN5</f>
        <v>0</v>
      </c>
      <c r="AN5" s="282">
        <f>SUM(AN12:AN30)+SUM(AQ7:AQ35)+AN9+SUM(AN32:AN35)</f>
        <v>30</v>
      </c>
      <c r="AO5" s="1"/>
      <c r="AP5" s="1"/>
      <c r="AQ5" s="1"/>
      <c r="AR5" s="1"/>
      <c r="AS5" s="1"/>
      <c r="BD5" s="311" t="str">
        <f>CharGen!D39</f>
        <v>Night Eyes</v>
      </c>
      <c r="BE5" s="312">
        <f>BE4+1</f>
        <v>2</v>
      </c>
      <c r="BF5" s="330">
        <f t="shared" ref="BF5:BF13" si="2">IF(BD5=0,"",BE5)</f>
        <v>2</v>
      </c>
      <c r="BG5" s="323">
        <f>IF(BI5="","",COUNTIF(Tables!$AG$2:$AG$226,BI5)*BE5+COUNTIF(Tables!$AG$236:$AG$318,BI5)*99*BE5)</f>
        <v>2</v>
      </c>
      <c r="BH5" s="255">
        <f t="shared" si="0"/>
        <v>2</v>
      </c>
      <c r="BI5" s="313" t="str">
        <f t="shared" si="1"/>
        <v>Night Eyes</v>
      </c>
      <c r="BJ5" s="313" t="str">
        <f t="shared" ref="BJ5:BJ13" si="3">IF(BH5="","",VLOOKUP(BE5,$BH$4:$BI$13,2,FALSE))</f>
        <v>Night Eyes</v>
      </c>
      <c r="BK5"/>
      <c r="BL5"/>
    </row>
    <row r="6" spans="1:64" ht="12.95" customHeight="1" thickTop="1" thickBot="1">
      <c r="A6" s="691"/>
      <c r="B6" s="689">
        <f>IF(endchargen=0,0,agility+agilityxp)</f>
        <v>4</v>
      </c>
      <c r="C6" s="691"/>
      <c r="D6" s="692" t="s">
        <v>581</v>
      </c>
      <c r="E6" s="693"/>
      <c r="F6" s="693"/>
      <c r="G6" s="693"/>
      <c r="H6" s="693"/>
      <c r="I6" s="693"/>
      <c r="J6" s="693"/>
      <c r="K6" s="344"/>
      <c r="L6" s="697">
        <f>Tables!ED2</f>
        <v>2</v>
      </c>
      <c r="M6" s="698"/>
      <c r="N6" s="699" t="str">
        <f>Tables!EC2</f>
        <v>Acrobatics</v>
      </c>
      <c r="O6" s="699"/>
      <c r="P6" s="699"/>
      <c r="Q6" s="700"/>
      <c r="R6" s="691"/>
      <c r="S6" s="691"/>
      <c r="T6" s="689">
        <f>IF(endchargen=0,0,knowledge+knowledgexp)</f>
        <v>2</v>
      </c>
      <c r="U6" s="690"/>
      <c r="V6" s="691"/>
      <c r="W6" s="692" t="s">
        <v>597</v>
      </c>
      <c r="X6" s="692"/>
      <c r="Y6" s="692"/>
      <c r="Z6" s="692"/>
      <c r="AA6" s="692"/>
      <c r="AB6" s="344"/>
      <c r="AC6" s="272" t="str">
        <f>Tables!ED29</f>
        <v/>
      </c>
      <c r="AD6" s="711" t="str">
        <f>Tables!EC29</f>
        <v/>
      </c>
      <c r="AE6" s="712"/>
      <c r="AF6" s="344"/>
      <c r="AG6" s="3" t="str">
        <f>IF(COUNTIF(qualities,"Blood of Heroes")=1,VLOOKUP("Blood of Heroes",B38:Q49,15,FALSE),"")</f>
        <v/>
      </c>
      <c r="AL6" s="1"/>
      <c r="AM6" s="1"/>
      <c r="AN6" s="1"/>
      <c r="AO6" s="1"/>
      <c r="AP6" s="192" t="s">
        <v>516</v>
      </c>
      <c r="AQ6" s="647" t="s">
        <v>461</v>
      </c>
      <c r="AR6" s="648"/>
      <c r="AS6" s="1"/>
      <c r="AT6" s="250" t="s">
        <v>475</v>
      </c>
      <c r="AV6" s="200" t="s">
        <v>170</v>
      </c>
      <c r="AW6" s="250" t="s">
        <v>478</v>
      </c>
      <c r="AX6" s="251"/>
      <c r="AY6" s="261">
        <f>COUNT(AY7:AY19)</f>
        <v>0</v>
      </c>
      <c r="AZ6" s="250" t="s">
        <v>479</v>
      </c>
      <c r="BD6" s="311" t="str">
        <f>CharGen!D41</f>
        <v>Furtive</v>
      </c>
      <c r="BE6" s="312">
        <f t="shared" ref="BE6:BE13" si="4">BE5+1</f>
        <v>3</v>
      </c>
      <c r="BF6" s="330">
        <f t="shared" si="2"/>
        <v>3</v>
      </c>
      <c r="BG6" s="323">
        <f>IF(BI6="","",COUNTIF(Tables!$AG$2:$AG$226,BI6)*BE6+COUNTIF(Tables!$AG$236:$AG$318,BI6)*99*BE6)</f>
        <v>3</v>
      </c>
      <c r="BH6" s="255">
        <f t="shared" si="0"/>
        <v>3</v>
      </c>
      <c r="BI6" s="313" t="str">
        <f t="shared" si="1"/>
        <v>Furtive</v>
      </c>
      <c r="BJ6" s="313" t="str">
        <f t="shared" si="3"/>
        <v>Furtive</v>
      </c>
      <c r="BK6"/>
      <c r="BL6"/>
    </row>
    <row r="7" spans="1:64" ht="12.95" customHeight="1" thickBot="1">
      <c r="A7" s="691"/>
      <c r="B7" s="689"/>
      <c r="C7" s="691"/>
      <c r="D7" s="693"/>
      <c r="E7" s="693"/>
      <c r="F7" s="693"/>
      <c r="G7" s="693"/>
      <c r="H7" s="693"/>
      <c r="I7" s="693"/>
      <c r="J7" s="693"/>
      <c r="K7" s="344"/>
      <c r="L7" s="705">
        <f>Tables!ED3</f>
        <v>1</v>
      </c>
      <c r="M7" s="706"/>
      <c r="N7" s="707" t="str">
        <f>Tables!EC3</f>
        <v>Balance</v>
      </c>
      <c r="O7" s="707"/>
      <c r="P7" s="707"/>
      <c r="Q7" s="708"/>
      <c r="R7" s="691"/>
      <c r="S7" s="691"/>
      <c r="T7" s="689"/>
      <c r="U7" s="690"/>
      <c r="V7" s="691"/>
      <c r="W7" s="692"/>
      <c r="X7" s="692"/>
      <c r="Y7" s="692"/>
      <c r="Z7" s="692"/>
      <c r="AA7" s="692"/>
      <c r="AB7" s="344"/>
      <c r="AC7" s="273" t="str">
        <f>Tables!ED30</f>
        <v/>
      </c>
      <c r="AD7" s="709" t="str">
        <f>Tables!EC30</f>
        <v/>
      </c>
      <c r="AE7" s="710"/>
      <c r="AF7" s="344"/>
      <c r="AL7" s="1"/>
      <c r="AM7" s="1"/>
      <c r="AN7" s="1"/>
      <c r="AO7" s="1"/>
      <c r="AP7" s="362" t="s">
        <v>991</v>
      </c>
      <c r="AQ7" s="664">
        <v>10</v>
      </c>
      <c r="AR7" s="632"/>
      <c r="AS7" s="1"/>
      <c r="AT7" s="249">
        <f>IF(AP7="","",VLOOKUP(AP7,Tables!$DQ$2:$EE$469,15,FALSE)*10)</f>
        <v>40</v>
      </c>
      <c r="AV7" s="252">
        <v>1</v>
      </c>
      <c r="AW7" s="253">
        <f>CharGen!N33</f>
        <v>0</v>
      </c>
      <c r="AX7" s="254">
        <f>CharGen!L33</f>
        <v>0</v>
      </c>
      <c r="AY7" s="262" t="str">
        <f>IF(AX7=0,"",IF(AW7=0,"",IF(COUNTIF($AW$7:AW7,AW7)&gt;1,"",AV7)))</f>
        <v/>
      </c>
      <c r="AZ7" s="200" t="str">
        <f>IF(AV7&gt;$AY$6,"",INDEX($AW$7:$AW$19,SMALL($AY$7:$AY$19,AV7),1))</f>
        <v/>
      </c>
      <c r="BA7" s="200" t="str">
        <f>IF(AZ7="","",SUMIF($AW$7:$AW$19,AZ7,$AX$7:$AX$19))</f>
        <v/>
      </c>
      <c r="BD7" s="311">
        <f>CharGen!D42</f>
        <v>0</v>
      </c>
      <c r="BE7" s="312">
        <f t="shared" si="4"/>
        <v>4</v>
      </c>
      <c r="BF7" s="330" t="str">
        <f t="shared" si="2"/>
        <v/>
      </c>
      <c r="BG7" s="323" t="str">
        <f>IF(BI7="","",COUNTIF(Tables!$AG$2:$AG$226,BI7)*BE7+COUNTIF(Tables!$AG$236:$AG$318,BI7)*99*BE7)</f>
        <v/>
      </c>
      <c r="BH7" s="255" t="str">
        <f t="shared" si="0"/>
        <v/>
      </c>
      <c r="BI7" s="313" t="str">
        <f t="shared" si="1"/>
        <v/>
      </c>
      <c r="BJ7" s="313" t="str">
        <f t="shared" si="3"/>
        <v/>
      </c>
      <c r="BK7"/>
      <c r="BL7"/>
    </row>
    <row r="8" spans="1:64" ht="12.95" customHeight="1" thickBot="1">
      <c r="A8" s="691"/>
      <c r="B8" s="689"/>
      <c r="C8" s="691"/>
      <c r="D8" s="694">
        <f>B6+agilitymod2</f>
        <v>4</v>
      </c>
      <c r="E8" s="695"/>
      <c r="F8" s="695"/>
      <c r="G8" s="695"/>
      <c r="H8" s="696">
        <f>agilitybonus2+armourpen</f>
        <v>0</v>
      </c>
      <c r="I8" s="696"/>
      <c r="J8" s="696"/>
      <c r="K8" s="344"/>
      <c r="L8" s="701" t="str">
        <f>Tables!ED4</f>
        <v/>
      </c>
      <c r="M8" s="702"/>
      <c r="N8" s="703" t="str">
        <f>Tables!EC4</f>
        <v/>
      </c>
      <c r="O8" s="703"/>
      <c r="P8" s="703"/>
      <c r="Q8" s="704"/>
      <c r="R8" s="691"/>
      <c r="S8" s="691"/>
      <c r="T8" s="689"/>
      <c r="U8" s="690"/>
      <c r="V8" s="691"/>
      <c r="W8" s="694">
        <f>T6+knowledgemod2</f>
        <v>2</v>
      </c>
      <c r="X8" s="713"/>
      <c r="Y8" s="713"/>
      <c r="Z8" s="696">
        <f>knowledgebonus2</f>
        <v>0</v>
      </c>
      <c r="AA8" s="696"/>
      <c r="AB8" s="344"/>
      <c r="AC8" s="274" t="str">
        <f>Tables!ED31</f>
        <v/>
      </c>
      <c r="AD8" s="714" t="str">
        <f>Tables!EC31</f>
        <v/>
      </c>
      <c r="AE8" s="715"/>
      <c r="AF8" s="344"/>
      <c r="AL8" s="1"/>
      <c r="AM8" s="382" t="s">
        <v>518</v>
      </c>
      <c r="AN8" s="379" t="s">
        <v>461</v>
      </c>
      <c r="AO8" s="1"/>
      <c r="AP8" s="362" t="s">
        <v>993</v>
      </c>
      <c r="AQ8" s="631">
        <v>10</v>
      </c>
      <c r="AR8" s="632"/>
      <c r="AS8" s="1"/>
      <c r="AT8" s="229">
        <f>IF(AP8="","",VLOOKUP(AP8,Tables!$DQ$2:$EE$469,15,FALSE)*10)</f>
        <v>30</v>
      </c>
      <c r="AV8" s="255">
        <v>2</v>
      </c>
      <c r="AW8" s="256">
        <f>CharGen!N34</f>
        <v>0</v>
      </c>
      <c r="AX8" s="257">
        <f>CharGen!L34</f>
        <v>0</v>
      </c>
      <c r="AY8" s="263" t="str">
        <f>IF(AX8=0,"",IF(AW8=0,"",IF(COUNTIF($AW$7:AW8,AW8)&gt;1,"",AV8)))</f>
        <v/>
      </c>
      <c r="AZ8" s="200" t="str">
        <f t="shared" ref="AZ8:AZ15" si="5">IF(AV8&gt;$AY$6,"",INDEX($AW$7:$AW$19,SMALL($AY$7:$AY$19,AV8),1))</f>
        <v/>
      </c>
      <c r="BA8" s="200" t="str">
        <f t="shared" ref="BA8:BA15" si="6">IF(AZ8="","",SUMIF($AW$7:$AW$19,AZ8,$AX$7:$AX$19))</f>
        <v/>
      </c>
      <c r="BD8" s="311">
        <f>CharGen!D43</f>
        <v>0</v>
      </c>
      <c r="BE8" s="312">
        <f t="shared" si="4"/>
        <v>5</v>
      </c>
      <c r="BF8" s="330" t="str">
        <f t="shared" si="2"/>
        <v/>
      </c>
      <c r="BG8" s="323" t="str">
        <f>IF(BI8="","",COUNTIF(Tables!$AG$2:$AG$226,BI8)*BE8+COUNTIF(Tables!$AG$236:$AG$318,BI8)*99*BE8)</f>
        <v/>
      </c>
      <c r="BH8" s="255" t="str">
        <f t="shared" si="0"/>
        <v/>
      </c>
      <c r="BI8" s="313" t="str">
        <f t="shared" si="1"/>
        <v/>
      </c>
      <c r="BJ8" s="313" t="str">
        <f t="shared" si="3"/>
        <v/>
      </c>
      <c r="BK8"/>
      <c r="BL8"/>
    </row>
    <row r="9" spans="1:64" ht="12.95" customHeight="1" thickTop="1" thickBot="1">
      <c r="A9" s="691"/>
      <c r="B9" s="716">
        <f>IF(endchargen=0,0,animal+animalxp)</f>
        <v>3</v>
      </c>
      <c r="C9" s="691"/>
      <c r="D9" s="720" t="s">
        <v>582</v>
      </c>
      <c r="E9" s="723"/>
      <c r="F9" s="723"/>
      <c r="G9" s="723"/>
      <c r="H9" s="723"/>
      <c r="I9" s="723"/>
      <c r="J9" s="723"/>
      <c r="K9" s="344"/>
      <c r="L9" s="697" t="str">
        <f>Tables!ED5</f>
        <v/>
      </c>
      <c r="M9" s="698"/>
      <c r="N9" s="699" t="str">
        <f>Tables!EC5</f>
        <v/>
      </c>
      <c r="O9" s="699"/>
      <c r="P9" s="699"/>
      <c r="Q9" s="700"/>
      <c r="R9" s="691"/>
      <c r="S9" s="691"/>
      <c r="T9" s="716">
        <f>IF(endchargen=0,0,marksmanship+marksmanshipxp)</f>
        <v>4</v>
      </c>
      <c r="U9" s="717"/>
      <c r="V9" s="691"/>
      <c r="W9" s="720" t="s">
        <v>598</v>
      </c>
      <c r="X9" s="721"/>
      <c r="Y9" s="721"/>
      <c r="Z9" s="721"/>
      <c r="AA9" s="721"/>
      <c r="AB9" s="344"/>
      <c r="AC9" s="272" t="str">
        <f>Tables!ED32</f>
        <v/>
      </c>
      <c r="AD9" s="711" t="str">
        <f>Tables!EC32</f>
        <v/>
      </c>
      <c r="AE9" s="712"/>
      <c r="AF9" s="344"/>
      <c r="AL9" s="1"/>
      <c r="AM9" s="381" t="s">
        <v>519</v>
      </c>
      <c r="AN9" s="380"/>
      <c r="AO9" s="1"/>
      <c r="AP9" s="362" t="s">
        <v>992</v>
      </c>
      <c r="AQ9" s="631">
        <v>10</v>
      </c>
      <c r="AR9" s="632"/>
      <c r="AS9" s="1"/>
      <c r="AT9" s="229">
        <f>IF(AP9="","",VLOOKUP(AP9,Tables!$DQ$2:$EE$469,15,FALSE)*10)</f>
        <v>40</v>
      </c>
      <c r="AV9" s="255">
        <v>3</v>
      </c>
      <c r="AW9" s="256">
        <f>CharGen!N35</f>
        <v>0</v>
      </c>
      <c r="AX9" s="257">
        <f>CharGen!L35</f>
        <v>0</v>
      </c>
      <c r="AY9" s="263" t="str">
        <f>IF(AX9=0,"",IF(AW9=0,"",IF(COUNTIF($AW$7:AW9,AW9)&gt;1,"",AV9)))</f>
        <v/>
      </c>
      <c r="AZ9" s="200" t="str">
        <f t="shared" si="5"/>
        <v/>
      </c>
      <c r="BA9" s="200" t="str">
        <f t="shared" si="6"/>
        <v/>
      </c>
      <c r="BD9" s="311">
        <f>CharGen!D44</f>
        <v>0</v>
      </c>
      <c r="BE9" s="312">
        <f t="shared" si="4"/>
        <v>6</v>
      </c>
      <c r="BF9" s="330" t="str">
        <f t="shared" si="2"/>
        <v/>
      </c>
      <c r="BG9" s="323" t="str">
        <f>IF(BI9="","",COUNTIF(Tables!$AG$2:$AG$226,BI9)*BE9+COUNTIF(Tables!$AG$236:$AG$318,BI9)*99*BE9)</f>
        <v/>
      </c>
      <c r="BH9" s="255" t="str">
        <f t="shared" si="0"/>
        <v/>
      </c>
      <c r="BI9" s="313" t="str">
        <f t="shared" si="1"/>
        <v/>
      </c>
      <c r="BJ9" s="313" t="str">
        <f t="shared" si="3"/>
        <v/>
      </c>
      <c r="BK9"/>
      <c r="BL9"/>
    </row>
    <row r="10" spans="1:64" ht="12.95" customHeight="1" thickBot="1">
      <c r="A10" s="691"/>
      <c r="B10" s="718"/>
      <c r="C10" s="691"/>
      <c r="D10" s="724"/>
      <c r="E10" s="724"/>
      <c r="F10" s="724"/>
      <c r="G10" s="724"/>
      <c r="H10" s="724"/>
      <c r="I10" s="724"/>
      <c r="J10" s="724"/>
      <c r="K10" s="344"/>
      <c r="L10" s="705" t="str">
        <f>Tables!ED6</f>
        <v/>
      </c>
      <c r="M10" s="706"/>
      <c r="N10" s="707" t="str">
        <f>Tables!EC6</f>
        <v/>
      </c>
      <c r="O10" s="707"/>
      <c r="P10" s="707"/>
      <c r="Q10" s="708"/>
      <c r="R10" s="691"/>
      <c r="S10" s="691"/>
      <c r="T10" s="718"/>
      <c r="U10" s="719"/>
      <c r="V10" s="691"/>
      <c r="W10" s="722"/>
      <c r="X10" s="722"/>
      <c r="Y10" s="722"/>
      <c r="Z10" s="722"/>
      <c r="AA10" s="722"/>
      <c r="AB10" s="344"/>
      <c r="AC10" s="273" t="str">
        <f>Tables!ED33</f>
        <v/>
      </c>
      <c r="AD10" s="709" t="str">
        <f>Tables!EC33</f>
        <v/>
      </c>
      <c r="AE10" s="710"/>
      <c r="AF10" s="344"/>
      <c r="AL10" s="1"/>
      <c r="AM10" s="1"/>
      <c r="AN10" s="1"/>
      <c r="AO10" s="205"/>
      <c r="AP10" s="362"/>
      <c r="AQ10" s="631"/>
      <c r="AR10" s="632"/>
      <c r="AS10" s="1"/>
      <c r="AT10" s="229" t="str">
        <f>IF(AP10="","",VLOOKUP(AP10,Tables!$DQ$2:$EE$469,15,FALSE)*10)</f>
        <v/>
      </c>
      <c r="AV10" s="255">
        <v>4</v>
      </c>
      <c r="AW10" s="256">
        <f>CharGen!U33</f>
        <v>0</v>
      </c>
      <c r="AX10" s="255">
        <f>CharGen!T33</f>
        <v>0</v>
      </c>
      <c r="AY10" s="263" t="str">
        <f>IF(AX10=0,"",IF(AW10=0,"",IF(COUNTIF($AW$7:AW10,AW10)&gt;1,"",AV10)))</f>
        <v/>
      </c>
      <c r="AZ10" s="200" t="str">
        <f t="shared" si="5"/>
        <v/>
      </c>
      <c r="BA10" s="200" t="str">
        <f t="shared" si="6"/>
        <v/>
      </c>
      <c r="BD10" s="311">
        <f>CharGen!D45</f>
        <v>0</v>
      </c>
      <c r="BE10" s="312">
        <f t="shared" si="4"/>
        <v>7</v>
      </c>
      <c r="BF10" s="330" t="str">
        <f t="shared" si="2"/>
        <v/>
      </c>
      <c r="BG10" s="323" t="str">
        <f>IF(BI10="","",COUNTIF(Tables!$AG$2:$AG$226,BI10)*BE10+COUNTIF(Tables!$AG$236:$AG$318,BI10)*99*BE10)</f>
        <v/>
      </c>
      <c r="BH10" s="255" t="str">
        <f t="shared" si="0"/>
        <v/>
      </c>
      <c r="BI10" s="313" t="str">
        <f t="shared" si="1"/>
        <v/>
      </c>
      <c r="BJ10" s="313" t="str">
        <f t="shared" si="3"/>
        <v/>
      </c>
      <c r="BK10"/>
      <c r="BL10"/>
    </row>
    <row r="11" spans="1:64" ht="12.95" customHeight="1" thickBot="1">
      <c r="A11" s="691"/>
      <c r="B11" s="718"/>
      <c r="C11" s="691"/>
      <c r="D11" s="694">
        <f>B9+animalmod2</f>
        <v>3</v>
      </c>
      <c r="E11" s="695"/>
      <c r="F11" s="695"/>
      <c r="G11" s="695"/>
      <c r="H11" s="696">
        <f>animalbonus2</f>
        <v>0</v>
      </c>
      <c r="I11" s="696"/>
      <c r="J11" s="696"/>
      <c r="K11" s="344"/>
      <c r="L11" s="701" t="str">
        <f>Tables!ED7</f>
        <v/>
      </c>
      <c r="M11" s="702"/>
      <c r="N11" s="703" t="str">
        <f>Tables!EC7</f>
        <v/>
      </c>
      <c r="O11" s="703"/>
      <c r="P11" s="703"/>
      <c r="Q11" s="704"/>
      <c r="R11" s="691"/>
      <c r="S11" s="691"/>
      <c r="T11" s="718"/>
      <c r="U11" s="719"/>
      <c r="V11" s="691"/>
      <c r="W11" s="694">
        <f>T9+marksmanshipmod2</f>
        <v>4</v>
      </c>
      <c r="X11" s="713"/>
      <c r="Y11" s="713"/>
      <c r="Z11" s="696">
        <f>marksmanshipbonus2</f>
        <v>0</v>
      </c>
      <c r="AA11" s="696"/>
      <c r="AB11" s="344"/>
      <c r="AC11" s="274" t="str">
        <f>Tables!ED34</f>
        <v/>
      </c>
      <c r="AD11" s="714" t="str">
        <f>Tables!EC34</f>
        <v/>
      </c>
      <c r="AE11" s="715"/>
      <c r="AF11" s="344"/>
      <c r="AL11" s="1"/>
      <c r="AM11" s="192" t="s">
        <v>517</v>
      </c>
      <c r="AN11" s="194" t="s">
        <v>461</v>
      </c>
      <c r="AO11" s="1"/>
      <c r="AP11" s="362"/>
      <c r="AQ11" s="631"/>
      <c r="AR11" s="632"/>
      <c r="AS11" s="1"/>
      <c r="AT11" s="229" t="str">
        <f>IF(AP11="","",VLOOKUP(AP11,Tables!$DQ$2:$EE$469,15,FALSE)*10)</f>
        <v/>
      </c>
      <c r="AV11" s="255">
        <v>5</v>
      </c>
      <c r="AW11" s="256">
        <f>CharGen!U34</f>
        <v>0</v>
      </c>
      <c r="AX11" s="255">
        <f>CharGen!T34</f>
        <v>0</v>
      </c>
      <c r="AY11" s="263" t="str">
        <f>IF(AX11=0,"",IF(AW11=0,"",IF(COUNTIF($AW$7:AW11,AW11)&gt;1,"",AV11)))</f>
        <v/>
      </c>
      <c r="AZ11" s="200" t="str">
        <f t="shared" si="5"/>
        <v/>
      </c>
      <c r="BA11" s="200" t="str">
        <f t="shared" si="6"/>
        <v/>
      </c>
      <c r="BD11" s="311">
        <f>CharGen!D46</f>
        <v>0</v>
      </c>
      <c r="BE11" s="314">
        <f t="shared" si="4"/>
        <v>8</v>
      </c>
      <c r="BF11" s="330" t="str">
        <f t="shared" si="2"/>
        <v/>
      </c>
      <c r="BG11" s="323" t="str">
        <f>IF(BI11="","",COUNTIF(Tables!$AG$2:$AG$226,BI11)*BE11+COUNTIF(Tables!$AG$236:$AG$318,BI11)*99*BE11)</f>
        <v/>
      </c>
      <c r="BH11" s="255" t="str">
        <f t="shared" si="0"/>
        <v/>
      </c>
      <c r="BI11" s="313" t="str">
        <f t="shared" si="1"/>
        <v/>
      </c>
      <c r="BJ11" s="313" t="str">
        <f t="shared" si="3"/>
        <v/>
      </c>
      <c r="BK11"/>
    </row>
    <row r="12" spans="1:64" ht="12.95" customHeight="1" thickTop="1" thickBot="1">
      <c r="A12" s="691"/>
      <c r="B12" s="716">
        <f>IF(endchargen=0,0,athletics+athleticsxp)</f>
        <v>4</v>
      </c>
      <c r="C12" s="691"/>
      <c r="D12" s="721" t="s">
        <v>588</v>
      </c>
      <c r="E12" s="723"/>
      <c r="F12" s="723"/>
      <c r="G12" s="723"/>
      <c r="H12" s="723"/>
      <c r="I12" s="723"/>
      <c r="J12" s="723"/>
      <c r="K12" s="344"/>
      <c r="L12" s="697">
        <f>Tables!ED8</f>
        <v>1</v>
      </c>
      <c r="M12" s="698"/>
      <c r="N12" s="699" t="str">
        <f>Tables!EC8</f>
        <v>Run</v>
      </c>
      <c r="O12" s="699"/>
      <c r="P12" s="699"/>
      <c r="Q12" s="700"/>
      <c r="R12" s="691"/>
      <c r="S12" s="691"/>
      <c r="T12" s="716">
        <f>IF(endchargen=0,0,persuasion+persuasionxp)</f>
        <v>2</v>
      </c>
      <c r="U12" s="717"/>
      <c r="V12" s="691"/>
      <c r="W12" s="721" t="s">
        <v>599</v>
      </c>
      <c r="X12" s="721"/>
      <c r="Y12" s="721"/>
      <c r="Z12" s="721"/>
      <c r="AA12" s="721"/>
      <c r="AB12" s="344"/>
      <c r="AC12" s="272" t="str">
        <f>Tables!ED35</f>
        <v/>
      </c>
      <c r="AD12" s="711" t="str">
        <f>Tables!EC35</f>
        <v/>
      </c>
      <c r="AE12" s="712"/>
      <c r="AF12" s="344"/>
      <c r="AL12" s="1"/>
      <c r="AM12" s="193" t="s">
        <v>640</v>
      </c>
      <c r="AN12" s="365"/>
      <c r="AO12" s="1"/>
      <c r="AP12" s="362"/>
      <c r="AQ12" s="631"/>
      <c r="AR12" s="632"/>
      <c r="AS12" s="1"/>
      <c r="AT12" s="229" t="str">
        <f>IF(AP12="","",VLOOKUP(AP12,Tables!$DQ$2:$EE$469,15,FALSE)*10)</f>
        <v/>
      </c>
      <c r="AU12" s="3" t="str">
        <f t="shared" ref="AU12:AU35" si="7">IF(AP12="","",MID(AP12,2,4))</f>
        <v/>
      </c>
      <c r="AV12" s="255">
        <v>6</v>
      </c>
      <c r="AW12" s="256">
        <f>CharGen!U35</f>
        <v>0</v>
      </c>
      <c r="AX12" s="255">
        <f>CharGen!T35</f>
        <v>0</v>
      </c>
      <c r="AY12" s="263" t="str">
        <f>IF(AX12=0,"",IF(AW12=0,"",IF(COUNTIF($AW$7:AW12,AW12)&gt;1,"",AV12)))</f>
        <v/>
      </c>
      <c r="AZ12" s="200" t="str">
        <f t="shared" si="5"/>
        <v/>
      </c>
      <c r="BA12" s="200" t="str">
        <f t="shared" si="6"/>
        <v/>
      </c>
      <c r="BD12" s="311">
        <f>CharGen!D48</f>
        <v>0</v>
      </c>
      <c r="BE12" s="314">
        <f t="shared" si="4"/>
        <v>9</v>
      </c>
      <c r="BF12" s="330" t="str">
        <f t="shared" si="2"/>
        <v/>
      </c>
      <c r="BG12" s="323" t="str">
        <f>IF(BI12="","",COUNTIF(Tables!$AG$2:$AG$226,BI12)*BE12+COUNTIF(Tables!$AG$236:$AG$318,BI12)*99*BE12)</f>
        <v/>
      </c>
      <c r="BH12" s="255" t="str">
        <f t="shared" si="0"/>
        <v/>
      </c>
      <c r="BI12" s="313" t="str">
        <f t="shared" si="1"/>
        <v/>
      </c>
      <c r="BJ12" s="313" t="str">
        <f t="shared" si="3"/>
        <v/>
      </c>
      <c r="BK12"/>
    </row>
    <row r="13" spans="1:64" ht="12.95" customHeight="1" thickBot="1">
      <c r="A13" s="691"/>
      <c r="B13" s="718"/>
      <c r="C13" s="691"/>
      <c r="D13" s="724"/>
      <c r="E13" s="724"/>
      <c r="F13" s="724"/>
      <c r="G13" s="724"/>
      <c r="H13" s="724"/>
      <c r="I13" s="724"/>
      <c r="J13" s="724"/>
      <c r="K13" s="344"/>
      <c r="L13" s="705" t="str">
        <f>Tables!ED9</f>
        <v/>
      </c>
      <c r="M13" s="706"/>
      <c r="N13" s="707" t="str">
        <f>Tables!EC9</f>
        <v/>
      </c>
      <c r="O13" s="707"/>
      <c r="P13" s="707"/>
      <c r="Q13" s="708"/>
      <c r="R13" s="691"/>
      <c r="S13" s="691"/>
      <c r="T13" s="718"/>
      <c r="U13" s="719"/>
      <c r="V13" s="691"/>
      <c r="W13" s="722"/>
      <c r="X13" s="722"/>
      <c r="Y13" s="722"/>
      <c r="Z13" s="722"/>
      <c r="AA13" s="722"/>
      <c r="AB13" s="344"/>
      <c r="AC13" s="273" t="str">
        <f>Tables!ED36</f>
        <v/>
      </c>
      <c r="AD13" s="709" t="str">
        <f>Tables!EC36</f>
        <v/>
      </c>
      <c r="AE13" s="710"/>
      <c r="AF13" s="344"/>
      <c r="AL13" s="1"/>
      <c r="AM13" s="193" t="s">
        <v>646</v>
      </c>
      <c r="AN13" s="365"/>
      <c r="AO13" s="1"/>
      <c r="AP13" s="362"/>
      <c r="AQ13" s="631"/>
      <c r="AR13" s="632"/>
      <c r="AS13" s="1"/>
      <c r="AT13" s="229" t="str">
        <f>IF(AP13="","",VLOOKUP(AP13,Tables!$DQ$2:$EE$469,15,FALSE)*10)</f>
        <v/>
      </c>
      <c r="AU13" s="3" t="str">
        <f t="shared" si="7"/>
        <v/>
      </c>
      <c r="AV13" s="255">
        <v>7</v>
      </c>
      <c r="AW13" s="256">
        <f>CharGen!AD33</f>
        <v>0</v>
      </c>
      <c r="AX13" s="257">
        <f>CharGen!AC33</f>
        <v>0</v>
      </c>
      <c r="AY13" s="263" t="str">
        <f>IF(AX13=0,"",IF(AW13=0,"",IF(COUNTIF($AW$7:AW13,AW13)&gt;1,"",AV13)))</f>
        <v/>
      </c>
      <c r="AZ13" s="200" t="str">
        <f t="shared" si="5"/>
        <v/>
      </c>
      <c r="BA13" s="200" t="str">
        <f t="shared" si="6"/>
        <v/>
      </c>
      <c r="BD13" s="315">
        <f>CharGen!D49</f>
        <v>0</v>
      </c>
      <c r="BE13" s="316">
        <f t="shared" si="4"/>
        <v>10</v>
      </c>
      <c r="BF13" s="331" t="str">
        <f t="shared" si="2"/>
        <v/>
      </c>
      <c r="BG13" s="324" t="str">
        <f>IF(BI13="","",COUNTIF(Tables!$AG$2:$AG$226,BI13)*BE13+COUNTIF(Tables!$AG$236:$AG$318,BI13)*99*BE13)</f>
        <v/>
      </c>
      <c r="BH13" s="258" t="str">
        <f t="shared" si="0"/>
        <v/>
      </c>
      <c r="BI13" s="317" t="str">
        <f t="shared" si="1"/>
        <v/>
      </c>
      <c r="BJ13" s="317" t="str">
        <f t="shared" si="3"/>
        <v/>
      </c>
      <c r="BK13"/>
    </row>
    <row r="14" spans="1:64" ht="12.95" customHeight="1" thickBot="1">
      <c r="A14" s="691"/>
      <c r="B14" s="718"/>
      <c r="C14" s="691"/>
      <c r="D14" s="694">
        <f>B12+athleticsmod2</f>
        <v>4</v>
      </c>
      <c r="E14" s="695"/>
      <c r="F14" s="695"/>
      <c r="G14" s="695"/>
      <c r="H14" s="696">
        <f>athleticsbonus2</f>
        <v>0</v>
      </c>
      <c r="I14" s="696"/>
      <c r="J14" s="696"/>
      <c r="K14" s="344"/>
      <c r="L14" s="701" t="str">
        <f>Tables!ED10</f>
        <v/>
      </c>
      <c r="M14" s="702"/>
      <c r="N14" s="703" t="str">
        <f>Tables!EC10</f>
        <v/>
      </c>
      <c r="O14" s="703"/>
      <c r="P14" s="703"/>
      <c r="Q14" s="704"/>
      <c r="R14" s="691"/>
      <c r="S14" s="691"/>
      <c r="T14" s="718"/>
      <c r="U14" s="719"/>
      <c r="V14" s="691"/>
      <c r="W14" s="694">
        <f>T12+persuasionmod2</f>
        <v>2</v>
      </c>
      <c r="X14" s="713"/>
      <c r="Y14" s="713"/>
      <c r="Z14" s="696">
        <f>persuasionbonus2</f>
        <v>0</v>
      </c>
      <c r="AA14" s="696"/>
      <c r="AB14" s="344"/>
      <c r="AC14" s="274" t="str">
        <f>Tables!ED37</f>
        <v/>
      </c>
      <c r="AD14" s="714" t="str">
        <f>Tables!EC37</f>
        <v/>
      </c>
      <c r="AE14" s="715"/>
      <c r="AF14" s="344"/>
      <c r="AL14" s="1"/>
      <c r="AM14" s="193" t="s">
        <v>651</v>
      </c>
      <c r="AN14" s="365"/>
      <c r="AO14" s="1"/>
      <c r="AP14" s="362"/>
      <c r="AQ14" s="631"/>
      <c r="AR14" s="632"/>
      <c r="AS14" s="1"/>
      <c r="AT14" s="229" t="str">
        <f>IF(AP14="","",VLOOKUP(AP14,Tables!$DQ$2:$EE$469,15,FALSE)*10)</f>
        <v/>
      </c>
      <c r="AU14" s="3" t="str">
        <f t="shared" si="7"/>
        <v/>
      </c>
      <c r="AV14" s="255">
        <v>8</v>
      </c>
      <c r="AW14" s="256">
        <f>CharGen!AD34</f>
        <v>0</v>
      </c>
      <c r="AX14" s="257">
        <f>CharGen!AC34</f>
        <v>0</v>
      </c>
      <c r="AY14" s="263" t="str">
        <f>IF(AX14=0,"",IF(AW14=0,"",IF(COUNTIF($AW$7:AW14,AW14)&gt;1,"",AV14)))</f>
        <v/>
      </c>
      <c r="AZ14" s="200" t="str">
        <f t="shared" si="5"/>
        <v/>
      </c>
      <c r="BA14" s="200" t="str">
        <f t="shared" si="6"/>
        <v/>
      </c>
      <c r="BD14" s="318"/>
      <c r="BE14" s="309">
        <f t="shared" ref="BE14:BE27" si="8">BE13+1</f>
        <v>11</v>
      </c>
      <c r="BF14" s="327"/>
      <c r="BJ14" s="333">
        <f>COUNTBLANK(BJ4:BJ13)</f>
        <v>7</v>
      </c>
    </row>
    <row r="15" spans="1:64" ht="12.95" customHeight="1" thickTop="1" thickBot="1">
      <c r="A15" s="691"/>
      <c r="B15" s="716">
        <f>IF(endchargen=0,0,awareness+awarenessxp)</f>
        <v>3</v>
      </c>
      <c r="C15" s="691"/>
      <c r="D15" s="721" t="s">
        <v>589</v>
      </c>
      <c r="E15" s="723"/>
      <c r="F15" s="723"/>
      <c r="G15" s="723"/>
      <c r="H15" s="723"/>
      <c r="I15" s="723"/>
      <c r="J15" s="723"/>
      <c r="K15" s="344"/>
      <c r="L15" s="697" t="str">
        <f>Tables!ED11</f>
        <v/>
      </c>
      <c r="M15" s="698"/>
      <c r="N15" s="699" t="str">
        <f>Tables!EC11</f>
        <v/>
      </c>
      <c r="O15" s="699"/>
      <c r="P15" s="699"/>
      <c r="Q15" s="700"/>
      <c r="R15" s="691"/>
      <c r="S15" s="691"/>
      <c r="T15" s="716">
        <f>IF(endchargen=0,0,status+statusxp)</f>
        <v>1</v>
      </c>
      <c r="U15" s="717"/>
      <c r="V15" s="691"/>
      <c r="W15" s="721" t="s">
        <v>600</v>
      </c>
      <c r="X15" s="721"/>
      <c r="Y15" s="721"/>
      <c r="Z15" s="721"/>
      <c r="AA15" s="721"/>
      <c r="AB15" s="344"/>
      <c r="AC15" s="272" t="str">
        <f>Tables!ED38</f>
        <v/>
      </c>
      <c r="AD15" s="711" t="str">
        <f>Tables!EC38</f>
        <v/>
      </c>
      <c r="AE15" s="712"/>
      <c r="AF15" s="344"/>
      <c r="AG15" s="228" t="s">
        <v>472</v>
      </c>
      <c r="AH15" s="228" t="s">
        <v>475</v>
      </c>
      <c r="AI15" s="228" t="s">
        <v>476</v>
      </c>
      <c r="AL15" s="1"/>
      <c r="AM15" s="193" t="s">
        <v>658</v>
      </c>
      <c r="AN15" s="365"/>
      <c r="AO15" s="1"/>
      <c r="AP15" s="362"/>
      <c r="AQ15" s="631"/>
      <c r="AR15" s="632"/>
      <c r="AS15" s="1"/>
      <c r="AT15" s="229" t="str">
        <f>IF(AP15="","",VLOOKUP(AP15,Tables!$DQ$2:$EE$469,15,FALSE)*10)</f>
        <v/>
      </c>
      <c r="AU15" s="3" t="str">
        <f t="shared" si="7"/>
        <v/>
      </c>
      <c r="AV15" s="258">
        <v>9</v>
      </c>
      <c r="AW15" s="259">
        <f>CharGen!AD35</f>
        <v>0</v>
      </c>
      <c r="AX15" s="260">
        <f>CharGen!AC35</f>
        <v>0</v>
      </c>
      <c r="AY15" s="264" t="str">
        <f>IF(AX15=0,"",IF(AW15=0,"",IF(COUNTIF($AW$7:AW15,AW15)&gt;1,"",AV15)))</f>
        <v/>
      </c>
      <c r="AZ15" s="200" t="str">
        <f t="shared" si="5"/>
        <v/>
      </c>
      <c r="BA15" s="200" t="str">
        <f t="shared" si="6"/>
        <v/>
      </c>
      <c r="BC15" s="3">
        <f>COUNTIF($BD$4:BD13,"&lt;&gt;0")</f>
        <v>3</v>
      </c>
      <c r="BD15" s="319">
        <f>AP39</f>
        <v>0</v>
      </c>
      <c r="BE15" s="314">
        <f t="shared" si="8"/>
        <v>12</v>
      </c>
      <c r="BF15" s="325" t="str">
        <f t="shared" ref="BF15:BF20" si="9">IF(BD15=0,"",BE15)</f>
        <v/>
      </c>
    </row>
    <row r="16" spans="1:64" ht="12.95" customHeight="1" thickBot="1">
      <c r="A16" s="691"/>
      <c r="B16" s="718"/>
      <c r="C16" s="691"/>
      <c r="D16" s="724"/>
      <c r="E16" s="724"/>
      <c r="F16" s="724"/>
      <c r="G16" s="724"/>
      <c r="H16" s="724"/>
      <c r="I16" s="724"/>
      <c r="J16" s="724"/>
      <c r="K16" s="344"/>
      <c r="L16" s="725" t="str">
        <f>Tables!ED12</f>
        <v/>
      </c>
      <c r="M16" s="726"/>
      <c r="N16" s="727" t="str">
        <f>Tables!EC12</f>
        <v/>
      </c>
      <c r="O16" s="727"/>
      <c r="P16" s="727"/>
      <c r="Q16" s="728"/>
      <c r="R16" s="691"/>
      <c r="S16" s="691"/>
      <c r="T16" s="718"/>
      <c r="U16" s="719"/>
      <c r="V16" s="691"/>
      <c r="W16" s="722"/>
      <c r="X16" s="722"/>
      <c r="Y16" s="722"/>
      <c r="Z16" s="722"/>
      <c r="AA16" s="722"/>
      <c r="AB16" s="344"/>
      <c r="AC16" s="273" t="str">
        <f>Tables!ED39</f>
        <v/>
      </c>
      <c r="AD16" s="709" t="str">
        <f>Tables!EC39</f>
        <v/>
      </c>
      <c r="AE16" s="710"/>
      <c r="AF16" s="344"/>
      <c r="AG16" s="229">
        <f t="shared" ref="AG16:AG34" si="10">ROUNDDOWN(AN12/30,0)</f>
        <v>0</v>
      </c>
      <c r="AH16" s="229">
        <f>CharGen!AH6</f>
        <v>5</v>
      </c>
      <c r="AI16" s="229">
        <f ca="1">(AH16-INDIRECT(AM12))*30</f>
        <v>30</v>
      </c>
      <c r="AL16" s="1"/>
      <c r="AM16" s="193" t="s">
        <v>661</v>
      </c>
      <c r="AN16" s="365"/>
      <c r="AO16" s="1"/>
      <c r="AP16" s="362"/>
      <c r="AQ16" s="631"/>
      <c r="AR16" s="632"/>
      <c r="AS16" s="1"/>
      <c r="AT16" s="229" t="str">
        <f>IF(AP16="","",VLOOKUP(AP16,Tables!$DQ$2:$EE$469,15,FALSE)*10)</f>
        <v/>
      </c>
      <c r="AU16" s="3" t="str">
        <f t="shared" si="7"/>
        <v/>
      </c>
      <c r="AV16" s="252">
        <v>10</v>
      </c>
      <c r="AW16" s="253">
        <f>AM32</f>
        <v>0</v>
      </c>
      <c r="AX16" s="252">
        <f>ROUNDDOWN(AN32/30,0)</f>
        <v>0</v>
      </c>
      <c r="AY16" s="262" t="str">
        <f>IF(AX16=0,"",IF(AW16=0,"",IF(COUNTIF($AW$7:AW16,AW16)&gt;1,"",AV16)))</f>
        <v/>
      </c>
      <c r="BC16" s="3">
        <f>COUNTIF($BD$4:BD14,"&lt;&gt;0")</f>
        <v>4</v>
      </c>
      <c r="BD16" s="319">
        <f>AP41</f>
        <v>0</v>
      </c>
      <c r="BE16" s="314">
        <f t="shared" si="8"/>
        <v>13</v>
      </c>
      <c r="BF16" s="325" t="str">
        <f t="shared" si="9"/>
        <v/>
      </c>
    </row>
    <row r="17" spans="1:58" ht="12.95" customHeight="1" thickBot="1">
      <c r="A17" s="691"/>
      <c r="B17" s="718"/>
      <c r="C17" s="691"/>
      <c r="D17" s="694">
        <f>B15+awarenessmod2</f>
        <v>3</v>
      </c>
      <c r="E17" s="695"/>
      <c r="F17" s="695"/>
      <c r="G17" s="695"/>
      <c r="H17" s="696">
        <f>awarenessbonus2</f>
        <v>0</v>
      </c>
      <c r="I17" s="696"/>
      <c r="J17" s="696"/>
      <c r="K17" s="344"/>
      <c r="L17" s="729" t="s">
        <v>334</v>
      </c>
      <c r="M17" s="729"/>
      <c r="N17" s="730"/>
      <c r="O17" s="730"/>
      <c r="P17" s="730"/>
      <c r="Q17" s="275">
        <f>actawareness*4+passiveaware</f>
        <v>12</v>
      </c>
      <c r="R17" s="691"/>
      <c r="S17" s="691"/>
      <c r="T17" s="718"/>
      <c r="U17" s="719"/>
      <c r="V17" s="691"/>
      <c r="W17" s="694">
        <f>T15+statusmod2</f>
        <v>1</v>
      </c>
      <c r="X17" s="713"/>
      <c r="Y17" s="713"/>
      <c r="Z17" s="696">
        <f>statusbonus2</f>
        <v>0</v>
      </c>
      <c r="AA17" s="696"/>
      <c r="AB17" s="344"/>
      <c r="AC17" s="274" t="str">
        <f>Tables!ED40</f>
        <v/>
      </c>
      <c r="AD17" s="714" t="str">
        <f>Tables!EC40</f>
        <v/>
      </c>
      <c r="AE17" s="715"/>
      <c r="AF17" s="344"/>
      <c r="AG17" s="229">
        <f t="shared" si="10"/>
        <v>0</v>
      </c>
      <c r="AH17" s="229">
        <f>CharGen!AH9</f>
        <v>5</v>
      </c>
      <c r="AI17" s="229">
        <f>(AH17-animal)*30</f>
        <v>60</v>
      </c>
      <c r="AL17" s="1"/>
      <c r="AM17" s="193" t="s">
        <v>664</v>
      </c>
      <c r="AN17" s="365"/>
      <c r="AO17" s="1"/>
      <c r="AP17" s="362"/>
      <c r="AQ17" s="631"/>
      <c r="AR17" s="632"/>
      <c r="AS17" s="1"/>
      <c r="AT17" s="229" t="str">
        <f>IF(AP17="","",VLOOKUP(AP17,Tables!$DQ$2:$EE$469,15,FALSE)*10)</f>
        <v/>
      </c>
      <c r="AU17" s="3" t="str">
        <f t="shared" si="7"/>
        <v/>
      </c>
      <c r="AV17" s="255">
        <v>11</v>
      </c>
      <c r="AW17" s="256">
        <f>AM33</f>
        <v>0</v>
      </c>
      <c r="AX17" s="255">
        <f>ROUNDDOWN(AN33/30,0)</f>
        <v>0</v>
      </c>
      <c r="AY17" s="263" t="str">
        <f>IF(AX17=0,"",IF(AW17=0,"",IF(COUNTIF($AW$7:AW17,AW17)&gt;1,"",AV17)))</f>
        <v/>
      </c>
      <c r="BC17" s="3">
        <f>COUNTIF($BD$4:BD15,"&lt;&gt;0")</f>
        <v>4</v>
      </c>
      <c r="BD17" s="319">
        <f>AP42</f>
        <v>0</v>
      </c>
      <c r="BE17" s="314">
        <f t="shared" si="8"/>
        <v>14</v>
      </c>
      <c r="BF17" s="325" t="str">
        <f t="shared" si="9"/>
        <v/>
      </c>
    </row>
    <row r="18" spans="1:58" ht="12.95" customHeight="1" thickTop="1" thickBot="1">
      <c r="A18" s="691"/>
      <c r="B18" s="716">
        <f>IF(endchargen=0,0,cunning+cunningxp)</f>
        <v>2</v>
      </c>
      <c r="C18" s="691"/>
      <c r="D18" s="721" t="s">
        <v>590</v>
      </c>
      <c r="E18" s="723"/>
      <c r="F18" s="723"/>
      <c r="G18" s="723"/>
      <c r="H18" s="723"/>
      <c r="I18" s="723"/>
      <c r="J18" s="723"/>
      <c r="K18" s="344"/>
      <c r="L18" s="697" t="str">
        <f>Tables!ED14</f>
        <v/>
      </c>
      <c r="M18" s="698"/>
      <c r="N18" s="699" t="str">
        <f>Tables!EC14</f>
        <v/>
      </c>
      <c r="O18" s="699"/>
      <c r="P18" s="699"/>
      <c r="Q18" s="700"/>
      <c r="R18" s="691"/>
      <c r="S18" s="691"/>
      <c r="T18" s="716">
        <f>IF(endchargen=0,0,stealth+stealthxp)</f>
        <v>4</v>
      </c>
      <c r="U18" s="717"/>
      <c r="V18" s="691"/>
      <c r="W18" s="721" t="s">
        <v>601</v>
      </c>
      <c r="X18" s="721"/>
      <c r="Y18" s="721"/>
      <c r="Z18" s="721"/>
      <c r="AA18" s="721"/>
      <c r="AB18" s="344"/>
      <c r="AC18" s="272">
        <f>Tables!ED41</f>
        <v>2</v>
      </c>
      <c r="AD18" s="711" t="str">
        <f>Tables!EC41</f>
        <v>Sneak</v>
      </c>
      <c r="AE18" s="712"/>
      <c r="AF18" s="344"/>
      <c r="AG18" s="229">
        <f t="shared" si="10"/>
        <v>0</v>
      </c>
      <c r="AH18" s="229">
        <f>CharGen!AH12</f>
        <v>5</v>
      </c>
      <c r="AI18" s="229">
        <f t="shared" ref="AI18:AI34" ca="1" si="11">(AH18-INDIRECT(AM14))*30</f>
        <v>30</v>
      </c>
      <c r="AL18" s="1"/>
      <c r="AM18" s="193" t="s">
        <v>669</v>
      </c>
      <c r="AN18" s="365"/>
      <c r="AO18" s="1"/>
      <c r="AP18" s="362"/>
      <c r="AQ18" s="631"/>
      <c r="AR18" s="632"/>
      <c r="AS18" s="1"/>
      <c r="AT18" s="229" t="str">
        <f>IF(AP18="","",VLOOKUP(AP18,Tables!$DQ$2:$EE$469,15,FALSE)*10)</f>
        <v/>
      </c>
      <c r="AU18" s="3" t="str">
        <f t="shared" si="7"/>
        <v/>
      </c>
      <c r="AV18" s="255">
        <v>12</v>
      </c>
      <c r="AW18" s="256">
        <f>AM34</f>
        <v>0</v>
      </c>
      <c r="AX18" s="255">
        <f>ROUNDDOWN(AN34/30,0)</f>
        <v>0</v>
      </c>
      <c r="AY18" s="263" t="str">
        <f>IF(AX18=0,"",IF(AW18=0,"",IF(COUNTIF($AW$7:AW18,AW18)&gt;1,"",AV18)))</f>
        <v/>
      </c>
      <c r="BC18" s="3">
        <f>COUNTIF($BD$4:BD16,"&lt;&gt;0")</f>
        <v>4</v>
      </c>
      <c r="BD18" s="319">
        <f>AP43</f>
        <v>0</v>
      </c>
      <c r="BE18" s="314">
        <f t="shared" si="8"/>
        <v>15</v>
      </c>
      <c r="BF18" s="325" t="str">
        <f t="shared" si="9"/>
        <v/>
      </c>
    </row>
    <row r="19" spans="1:58" ht="12.95" customHeight="1" thickBot="1">
      <c r="A19" s="691"/>
      <c r="B19" s="718"/>
      <c r="C19" s="691"/>
      <c r="D19" s="724"/>
      <c r="E19" s="724"/>
      <c r="F19" s="724"/>
      <c r="G19" s="724"/>
      <c r="H19" s="724"/>
      <c r="I19" s="724"/>
      <c r="J19" s="724"/>
      <c r="K19" s="344"/>
      <c r="L19" s="705" t="str">
        <f>Tables!ED15</f>
        <v/>
      </c>
      <c r="M19" s="706"/>
      <c r="N19" s="707" t="str">
        <f>Tables!EC15</f>
        <v/>
      </c>
      <c r="O19" s="707"/>
      <c r="P19" s="707"/>
      <c r="Q19" s="708"/>
      <c r="R19" s="691"/>
      <c r="S19" s="691"/>
      <c r="T19" s="718"/>
      <c r="U19" s="719"/>
      <c r="V19" s="691"/>
      <c r="W19" s="722"/>
      <c r="X19" s="722"/>
      <c r="Y19" s="722"/>
      <c r="Z19" s="722"/>
      <c r="AA19" s="722"/>
      <c r="AB19" s="344"/>
      <c r="AC19" s="274" t="str">
        <f>Tables!ED42</f>
        <v/>
      </c>
      <c r="AD19" s="714" t="str">
        <f>Tables!EC42</f>
        <v/>
      </c>
      <c r="AE19" s="715"/>
      <c r="AF19" s="344"/>
      <c r="AG19" s="229">
        <f t="shared" si="10"/>
        <v>0</v>
      </c>
      <c r="AH19" s="229">
        <f>CharGen!AH15</f>
        <v>5</v>
      </c>
      <c r="AI19" s="229">
        <f t="shared" ca="1" si="11"/>
        <v>60</v>
      </c>
      <c r="AL19" s="1"/>
      <c r="AM19" s="193" t="s">
        <v>672</v>
      </c>
      <c r="AN19" s="365"/>
      <c r="AO19" s="1"/>
      <c r="AP19" s="362"/>
      <c r="AQ19" s="631"/>
      <c r="AR19" s="632"/>
      <c r="AS19" s="1"/>
      <c r="AT19" s="229" t="str">
        <f>IF(AP19="","",VLOOKUP(AP19,Tables!$DQ$2:$EE$469,15,FALSE)*10)</f>
        <v/>
      </c>
      <c r="AU19" s="3" t="str">
        <f t="shared" si="7"/>
        <v/>
      </c>
      <c r="AV19" s="258">
        <v>13</v>
      </c>
      <c r="AW19" s="259">
        <f>AM35</f>
        <v>0</v>
      </c>
      <c r="AX19" s="258">
        <f>ROUNDDOWN(AN35/30,0)</f>
        <v>0</v>
      </c>
      <c r="AY19" s="264" t="str">
        <f>IF(AX19=0,"",IF(AW19=0,"",IF(COUNTIF($AW$7:AW19,AW19)&gt;1,"",AV19)))</f>
        <v/>
      </c>
      <c r="BC19" s="3">
        <f>COUNTIF($BD$4:BD17,"&lt;&gt;0")</f>
        <v>4</v>
      </c>
      <c r="BD19" s="319">
        <f>AP44</f>
        <v>0</v>
      </c>
      <c r="BE19" s="314">
        <f t="shared" si="8"/>
        <v>16</v>
      </c>
      <c r="BF19" s="325" t="str">
        <f t="shared" si="9"/>
        <v/>
      </c>
    </row>
    <row r="20" spans="1:58" ht="12.95" customHeight="1" thickBot="1">
      <c r="A20" s="691"/>
      <c r="B20" s="718"/>
      <c r="C20" s="691"/>
      <c r="D20" s="694">
        <f>B18+cunningmod2</f>
        <v>2</v>
      </c>
      <c r="E20" s="695"/>
      <c r="F20" s="695"/>
      <c r="G20" s="695"/>
      <c r="H20" s="696">
        <f>cunningbonus2</f>
        <v>0</v>
      </c>
      <c r="I20" s="696"/>
      <c r="J20" s="696"/>
      <c r="K20" s="344"/>
      <c r="L20" s="701" t="str">
        <f>Tables!ED16</f>
        <v/>
      </c>
      <c r="M20" s="702"/>
      <c r="N20" s="703" t="str">
        <f>Tables!EC16</f>
        <v/>
      </c>
      <c r="O20" s="703"/>
      <c r="P20" s="703"/>
      <c r="Q20" s="704"/>
      <c r="R20" s="691"/>
      <c r="S20" s="691"/>
      <c r="T20" s="718"/>
      <c r="U20" s="719"/>
      <c r="V20" s="691"/>
      <c r="W20" s="694">
        <f>T18+stealthmod2</f>
        <v>4</v>
      </c>
      <c r="X20" s="713"/>
      <c r="Y20" s="713"/>
      <c r="Z20" s="696">
        <f>stealthbonus2</f>
        <v>0</v>
      </c>
      <c r="AA20" s="696"/>
      <c r="AB20" s="344"/>
      <c r="AC20" s="731" t="s">
        <v>333</v>
      </c>
      <c r="AD20" s="732"/>
      <c r="AE20" s="278">
        <f>actstealth*4</f>
        <v>16</v>
      </c>
      <c r="AF20" s="344"/>
      <c r="AG20" s="229">
        <f t="shared" si="10"/>
        <v>0</v>
      </c>
      <c r="AH20" s="229">
        <f>CharGen!AH18</f>
        <v>5</v>
      </c>
      <c r="AI20" s="229">
        <f t="shared" ca="1" si="11"/>
        <v>90</v>
      </c>
      <c r="AL20" s="1"/>
      <c r="AM20" s="193" t="s">
        <v>682</v>
      </c>
      <c r="AN20" s="365"/>
      <c r="AO20" s="1"/>
      <c r="AP20" s="362"/>
      <c r="AQ20" s="631"/>
      <c r="AR20" s="632"/>
      <c r="AS20" s="1"/>
      <c r="AT20" s="229" t="str">
        <f>IF(AP20="","",VLOOKUP(AP20,Tables!$DQ$2:$EE$469,15,FALSE)*10)</f>
        <v/>
      </c>
      <c r="AU20" s="3" t="str">
        <f t="shared" si="7"/>
        <v/>
      </c>
      <c r="AX20"/>
      <c r="AY20"/>
      <c r="BC20" s="3">
        <f>COUNTIF($BD$4:BD18,"&lt;&gt;0")</f>
        <v>4</v>
      </c>
      <c r="BD20" s="319">
        <f>AP45</f>
        <v>0</v>
      </c>
      <c r="BE20" s="314">
        <f t="shared" si="8"/>
        <v>17</v>
      </c>
      <c r="BF20" s="325" t="str">
        <f t="shared" si="9"/>
        <v/>
      </c>
    </row>
    <row r="21" spans="1:58" ht="12.95" customHeight="1" thickTop="1" thickBot="1">
      <c r="A21" s="691"/>
      <c r="B21" s="716">
        <f>IF(endchargen=0,0,deception+deceptionxp)</f>
        <v>3</v>
      </c>
      <c r="C21" s="691"/>
      <c r="D21" s="721" t="s">
        <v>591</v>
      </c>
      <c r="E21" s="723"/>
      <c r="F21" s="723"/>
      <c r="G21" s="723"/>
      <c r="H21" s="723"/>
      <c r="I21" s="723"/>
      <c r="J21" s="723"/>
      <c r="K21" s="344"/>
      <c r="L21" s="697" t="str">
        <f>Tables!ED17</f>
        <v/>
      </c>
      <c r="M21" s="698"/>
      <c r="N21" s="699" t="str">
        <f>Tables!EC17</f>
        <v/>
      </c>
      <c r="O21" s="699"/>
      <c r="P21" s="699"/>
      <c r="Q21" s="700"/>
      <c r="R21" s="691"/>
      <c r="S21" s="691"/>
      <c r="T21" s="716">
        <f>IF(endchargen=0,0,survival+survivalxp)</f>
        <v>3</v>
      </c>
      <c r="U21" s="717"/>
      <c r="V21" s="691"/>
      <c r="W21" s="721" t="s">
        <v>602</v>
      </c>
      <c r="X21" s="721"/>
      <c r="Y21" s="721"/>
      <c r="Z21" s="721"/>
      <c r="AA21" s="721"/>
      <c r="AB21" s="344"/>
      <c r="AC21" s="276">
        <f>Tables!ED44</f>
        <v>1</v>
      </c>
      <c r="AD21" s="733" t="str">
        <f>Tables!EC44</f>
        <v>Forage</v>
      </c>
      <c r="AE21" s="734"/>
      <c r="AF21" s="344"/>
      <c r="AG21" s="229">
        <f t="shared" si="10"/>
        <v>0</v>
      </c>
      <c r="AH21" s="229">
        <f>CharGen!AH21</f>
        <v>5</v>
      </c>
      <c r="AI21" s="229">
        <f t="shared" ca="1" si="11"/>
        <v>60</v>
      </c>
      <c r="AL21" s="1"/>
      <c r="AM21" s="193" t="s">
        <v>686</v>
      </c>
      <c r="AN21" s="365"/>
      <c r="AO21" s="1"/>
      <c r="AP21" s="362"/>
      <c r="AQ21" s="631"/>
      <c r="AR21" s="632"/>
      <c r="AS21" s="1"/>
      <c r="AT21" s="229" t="str">
        <f>IF(AP21="","",VLOOKUP(AP21,Tables!$DQ$2:$EE$469,15,FALSE)*10)</f>
        <v/>
      </c>
      <c r="AU21" s="3" t="str">
        <f t="shared" si="7"/>
        <v/>
      </c>
      <c r="AX21"/>
      <c r="AY21"/>
      <c r="BC21" s="3">
        <f>COUNTIF($BD$4:BD19,"&lt;&gt;0")</f>
        <v>4</v>
      </c>
      <c r="BD21" s="320"/>
      <c r="BE21" s="314">
        <f t="shared" si="8"/>
        <v>18</v>
      </c>
      <c r="BF21" s="328"/>
    </row>
    <row r="22" spans="1:58" ht="12.95" customHeight="1" thickBot="1">
      <c r="A22" s="691"/>
      <c r="B22" s="718"/>
      <c r="C22" s="691"/>
      <c r="D22" s="724"/>
      <c r="E22" s="724"/>
      <c r="F22" s="724"/>
      <c r="G22" s="724"/>
      <c r="H22" s="724"/>
      <c r="I22" s="724"/>
      <c r="J22" s="724"/>
      <c r="K22" s="344"/>
      <c r="L22" s="705" t="str">
        <f>Tables!ED18</f>
        <v/>
      </c>
      <c r="M22" s="706"/>
      <c r="N22" s="707" t="str">
        <f>Tables!EC18</f>
        <v/>
      </c>
      <c r="O22" s="707"/>
      <c r="P22" s="707"/>
      <c r="Q22" s="708"/>
      <c r="R22" s="691"/>
      <c r="S22" s="691"/>
      <c r="T22" s="718"/>
      <c r="U22" s="719"/>
      <c r="V22" s="691"/>
      <c r="W22" s="722"/>
      <c r="X22" s="722"/>
      <c r="Y22" s="722"/>
      <c r="Z22" s="722"/>
      <c r="AA22" s="722"/>
      <c r="AB22" s="344"/>
      <c r="AC22" s="273" t="str">
        <f>Tables!ED45</f>
        <v/>
      </c>
      <c r="AD22" s="735" t="str">
        <f>Tables!EC45</f>
        <v/>
      </c>
      <c r="AE22" s="709"/>
      <c r="AF22" s="344"/>
      <c r="AG22" s="229">
        <f t="shared" si="10"/>
        <v>0</v>
      </c>
      <c r="AH22" s="229">
        <f>CharGen!AH24</f>
        <v>5</v>
      </c>
      <c r="AI22" s="229">
        <f t="shared" ca="1" si="11"/>
        <v>60</v>
      </c>
      <c r="AL22" s="1"/>
      <c r="AM22" s="193" t="s">
        <v>690</v>
      </c>
      <c r="AN22" s="365"/>
      <c r="AO22" s="1"/>
      <c r="AP22" s="362"/>
      <c r="AQ22" s="631"/>
      <c r="AR22" s="632"/>
      <c r="AS22" s="1"/>
      <c r="AT22" s="229" t="str">
        <f>IF(AP22="","",VLOOKUP(AP22,Tables!$DQ$2:$EE$469,15,FALSE)*10)</f>
        <v/>
      </c>
      <c r="AU22" s="3" t="str">
        <f t="shared" si="7"/>
        <v/>
      </c>
      <c r="AX22"/>
      <c r="AY22"/>
      <c r="BC22" s="3">
        <f>COUNTIF($BD$4:BD20,"&lt;&gt;0")</f>
        <v>4</v>
      </c>
      <c r="BD22" s="319">
        <f>AM39</f>
        <v>0</v>
      </c>
      <c r="BE22" s="314">
        <f t="shared" si="8"/>
        <v>19</v>
      </c>
      <c r="BF22" s="325" t="str">
        <f t="shared" ref="BF22:BF27" si="12">IF(BD22=0,"",BE22)</f>
        <v/>
      </c>
    </row>
    <row r="23" spans="1:58" ht="12.95" customHeight="1" thickBot="1">
      <c r="A23" s="691"/>
      <c r="B23" s="718"/>
      <c r="C23" s="691"/>
      <c r="D23" s="694">
        <f>B21+deceptionmod2</f>
        <v>3</v>
      </c>
      <c r="E23" s="695"/>
      <c r="F23" s="695"/>
      <c r="G23" s="695"/>
      <c r="H23" s="696">
        <f>deceptionbonus2</f>
        <v>0</v>
      </c>
      <c r="I23" s="696"/>
      <c r="J23" s="696"/>
      <c r="K23" s="344"/>
      <c r="L23" s="701" t="str">
        <f>Tables!ED19</f>
        <v/>
      </c>
      <c r="M23" s="702"/>
      <c r="N23" s="703" t="str">
        <f>Tables!EC19</f>
        <v/>
      </c>
      <c r="O23" s="703"/>
      <c r="P23" s="703"/>
      <c r="Q23" s="704"/>
      <c r="R23" s="691"/>
      <c r="S23" s="691"/>
      <c r="T23" s="718"/>
      <c r="U23" s="719"/>
      <c r="V23" s="691"/>
      <c r="W23" s="694">
        <f>T21+survivalmod2</f>
        <v>3</v>
      </c>
      <c r="X23" s="713"/>
      <c r="Y23" s="713"/>
      <c r="Z23" s="696">
        <f>survivalbonus2</f>
        <v>0</v>
      </c>
      <c r="AA23" s="696"/>
      <c r="AB23" s="344"/>
      <c r="AC23" s="277" t="str">
        <f>Tables!ED46</f>
        <v/>
      </c>
      <c r="AD23" s="736" t="str">
        <f>Tables!EC46</f>
        <v/>
      </c>
      <c r="AE23" s="737"/>
      <c r="AF23" s="344"/>
      <c r="AG23" s="229">
        <f t="shared" si="10"/>
        <v>0</v>
      </c>
      <c r="AH23" s="229">
        <f>CharGen!AH27</f>
        <v>5</v>
      </c>
      <c r="AI23" s="229">
        <f t="shared" ca="1" si="11"/>
        <v>60</v>
      </c>
      <c r="AL23" s="1"/>
      <c r="AM23" s="193" t="s">
        <v>412</v>
      </c>
      <c r="AN23" s="365"/>
      <c r="AO23" s="1"/>
      <c r="AP23" s="362"/>
      <c r="AQ23" s="631"/>
      <c r="AR23" s="632"/>
      <c r="AS23" s="1"/>
      <c r="AT23" s="229" t="str">
        <f>IF(AP23="","",VLOOKUP(AP23,Tables!$DQ$2:$EE$469,15,FALSE)*10)</f>
        <v/>
      </c>
      <c r="AU23" s="3" t="str">
        <f t="shared" si="7"/>
        <v/>
      </c>
      <c r="AX23"/>
      <c r="AY23"/>
      <c r="BC23" s="3">
        <f>COUNTIF($BD$4:BD21,"&lt;&gt;0")</f>
        <v>5</v>
      </c>
      <c r="BD23" s="319">
        <f>AM41</f>
        <v>0</v>
      </c>
      <c r="BE23" s="312">
        <f t="shared" si="8"/>
        <v>20</v>
      </c>
      <c r="BF23" s="325" t="str">
        <f t="shared" si="12"/>
        <v/>
      </c>
    </row>
    <row r="24" spans="1:58" ht="12.95" customHeight="1" thickTop="1" thickBot="1">
      <c r="A24" s="691"/>
      <c r="B24" s="716">
        <f>IF(endchargen=0,0,endurance+endurancexp)</f>
        <v>3</v>
      </c>
      <c r="C24" s="691"/>
      <c r="D24" s="721" t="s">
        <v>592</v>
      </c>
      <c r="E24" s="721"/>
      <c r="F24" s="721"/>
      <c r="G24" s="721"/>
      <c r="H24" s="721"/>
      <c r="I24" s="721"/>
      <c r="J24" s="721"/>
      <c r="K24" s="344"/>
      <c r="L24" s="738" t="str">
        <f>Tables!ED20</f>
        <v/>
      </c>
      <c r="M24" s="739"/>
      <c r="N24" s="740" t="str">
        <f>Tables!EC20</f>
        <v/>
      </c>
      <c r="O24" s="740"/>
      <c r="P24" s="740"/>
      <c r="Q24" s="741"/>
      <c r="R24" s="691"/>
      <c r="S24" s="691"/>
      <c r="T24" s="716">
        <f>IF(endchargen=0,0,thievery+thieveryxp)</f>
        <v>4</v>
      </c>
      <c r="U24" s="717"/>
      <c r="V24" s="691"/>
      <c r="W24" s="721" t="s">
        <v>603</v>
      </c>
      <c r="X24" s="721"/>
      <c r="Y24" s="721"/>
      <c r="Z24" s="721"/>
      <c r="AA24" s="721"/>
      <c r="AB24" s="344"/>
      <c r="AC24" s="276">
        <f>Tables!ED47</f>
        <v>1</v>
      </c>
      <c r="AD24" s="733" t="str">
        <f>Tables!EC47</f>
        <v>Steal</v>
      </c>
      <c r="AE24" s="734"/>
      <c r="AF24" s="344"/>
      <c r="AG24" s="229">
        <f t="shared" si="10"/>
        <v>0</v>
      </c>
      <c r="AH24" s="229">
        <f>CharGen!AH30</f>
        <v>5</v>
      </c>
      <c r="AI24" s="229">
        <f t="shared" ca="1" si="11"/>
        <v>60</v>
      </c>
      <c r="AL24" s="1"/>
      <c r="AM24" s="193" t="s">
        <v>697</v>
      </c>
      <c r="AN24" s="365"/>
      <c r="AO24" s="1"/>
      <c r="AP24" s="362"/>
      <c r="AQ24" s="631"/>
      <c r="AR24" s="632"/>
      <c r="AS24" s="1"/>
      <c r="AT24" s="229" t="str">
        <f>IF(AP24="","",VLOOKUP(AP24,Tables!$DQ$2:$EE$469,15,FALSE)*10)</f>
        <v/>
      </c>
      <c r="AU24" s="3" t="str">
        <f t="shared" si="7"/>
        <v/>
      </c>
      <c r="AX24"/>
      <c r="AY24"/>
      <c r="BC24" s="3">
        <f>COUNTIF($BD$4:BD22,"&lt;&gt;0")</f>
        <v>5</v>
      </c>
      <c r="BD24" s="319">
        <f>AM42</f>
        <v>0</v>
      </c>
      <c r="BE24" s="314">
        <f t="shared" si="8"/>
        <v>21</v>
      </c>
      <c r="BF24" s="325" t="str">
        <f t="shared" si="12"/>
        <v/>
      </c>
    </row>
    <row r="25" spans="1:58" ht="12.95" customHeight="1" thickBot="1">
      <c r="A25" s="691"/>
      <c r="B25" s="718"/>
      <c r="C25" s="691"/>
      <c r="D25" s="722"/>
      <c r="E25" s="722"/>
      <c r="F25" s="722"/>
      <c r="G25" s="722"/>
      <c r="H25" s="722"/>
      <c r="I25" s="722"/>
      <c r="J25" s="722"/>
      <c r="K25" s="344"/>
      <c r="L25" s="725" t="str">
        <f>Tables!ED21</f>
        <v/>
      </c>
      <c r="M25" s="726"/>
      <c r="N25" s="727" t="str">
        <f>Tables!EC21</f>
        <v/>
      </c>
      <c r="O25" s="727"/>
      <c r="P25" s="727"/>
      <c r="Q25" s="728"/>
      <c r="R25" s="691"/>
      <c r="S25" s="691"/>
      <c r="T25" s="718"/>
      <c r="U25" s="719"/>
      <c r="V25" s="691"/>
      <c r="W25" s="722"/>
      <c r="X25" s="722"/>
      <c r="Y25" s="722"/>
      <c r="Z25" s="722"/>
      <c r="AA25" s="722"/>
      <c r="AB25" s="344"/>
      <c r="AC25" s="273" t="str">
        <f>Tables!ED48</f>
        <v/>
      </c>
      <c r="AD25" s="735" t="str">
        <f>Tables!EC48</f>
        <v/>
      </c>
      <c r="AE25" s="709"/>
      <c r="AF25" s="344"/>
      <c r="AG25" s="229">
        <f t="shared" si="10"/>
        <v>0</v>
      </c>
      <c r="AH25" s="229">
        <f>CharGen!AH7</f>
        <v>5</v>
      </c>
      <c r="AI25" s="229">
        <f t="shared" ca="1" si="11"/>
        <v>90</v>
      </c>
      <c r="AL25" s="1"/>
      <c r="AM25" s="193" t="s">
        <v>704</v>
      </c>
      <c r="AN25" s="365"/>
      <c r="AO25" s="1"/>
      <c r="AP25" s="362"/>
      <c r="AQ25" s="631"/>
      <c r="AR25" s="632"/>
      <c r="AS25" s="1"/>
      <c r="AT25" s="229" t="str">
        <f>IF(AP25="","",VLOOKUP(AP25,Tables!$DQ$2:$EE$469,15,FALSE)*10)</f>
        <v/>
      </c>
      <c r="AU25" s="3" t="str">
        <f t="shared" si="7"/>
        <v/>
      </c>
      <c r="AX25"/>
      <c r="AY25"/>
      <c r="BC25" s="3">
        <f>COUNTIF($BD$4:BD23,"&lt;&gt;0")</f>
        <v>5</v>
      </c>
      <c r="BD25" s="319">
        <f>AM43</f>
        <v>0</v>
      </c>
      <c r="BE25" s="314">
        <f t="shared" si="8"/>
        <v>22</v>
      </c>
      <c r="BF25" s="325" t="str">
        <f t="shared" si="12"/>
        <v/>
      </c>
    </row>
    <row r="26" spans="1:58" ht="12.95" customHeight="1" thickBot="1">
      <c r="A26" s="691"/>
      <c r="B26" s="718"/>
      <c r="C26" s="691"/>
      <c r="D26" s="694">
        <f>B24+endurancemod2</f>
        <v>3</v>
      </c>
      <c r="E26" s="695"/>
      <c r="F26" s="695"/>
      <c r="G26" s="695"/>
      <c r="H26" s="696">
        <f>endurancebonus2</f>
        <v>0</v>
      </c>
      <c r="I26" s="696"/>
      <c r="J26" s="696"/>
      <c r="K26" s="344"/>
      <c r="L26" s="729" t="s">
        <v>335</v>
      </c>
      <c r="M26" s="729"/>
      <c r="N26" s="730"/>
      <c r="O26" s="730"/>
      <c r="P26" s="730"/>
      <c r="Q26" s="275">
        <f>actendurance*4</f>
        <v>12</v>
      </c>
      <c r="R26" s="691"/>
      <c r="S26" s="691"/>
      <c r="T26" s="718"/>
      <c r="U26" s="719"/>
      <c r="V26" s="691"/>
      <c r="W26" s="694">
        <f>T24+thieverymod2</f>
        <v>4</v>
      </c>
      <c r="X26" s="713"/>
      <c r="Y26" s="713"/>
      <c r="Z26" s="696">
        <f>thieverybonus2</f>
        <v>0</v>
      </c>
      <c r="AA26" s="696"/>
      <c r="AB26" s="344"/>
      <c r="AC26" s="277" t="str">
        <f>Tables!ED49</f>
        <v/>
      </c>
      <c r="AD26" s="736" t="str">
        <f>Tables!EC49</f>
        <v/>
      </c>
      <c r="AE26" s="737"/>
      <c r="AF26" s="344"/>
      <c r="AG26" s="229">
        <f t="shared" si="10"/>
        <v>0</v>
      </c>
      <c r="AH26" s="229">
        <f>CharGen!AH32</f>
        <v>5</v>
      </c>
      <c r="AI26" s="229">
        <f t="shared" ca="1" si="11"/>
        <v>90</v>
      </c>
      <c r="AL26" s="1"/>
      <c r="AM26" s="193" t="s">
        <v>709</v>
      </c>
      <c r="AN26" s="365"/>
      <c r="AO26" s="1"/>
      <c r="AP26" s="362"/>
      <c r="AQ26" s="631"/>
      <c r="AR26" s="632"/>
      <c r="AS26" s="1"/>
      <c r="AT26" s="229" t="str">
        <f>IF(AP26="","",VLOOKUP(AP26,Tables!$DQ$2:$EE$469,15,FALSE)*10)</f>
        <v/>
      </c>
      <c r="AU26" s="3" t="str">
        <f t="shared" si="7"/>
        <v/>
      </c>
      <c r="AX26"/>
      <c r="AY26"/>
      <c r="BC26" s="3">
        <f>COUNTIF($BD$4:BD24,"&lt;&gt;0")</f>
        <v>5</v>
      </c>
      <c r="BD26" s="319">
        <f>AM44</f>
        <v>0</v>
      </c>
      <c r="BE26" s="314">
        <f t="shared" si="8"/>
        <v>23</v>
      </c>
      <c r="BF26" s="325" t="str">
        <f t="shared" si="12"/>
        <v/>
      </c>
    </row>
    <row r="27" spans="1:58" ht="12.95" customHeight="1" thickBot="1">
      <c r="A27" s="691"/>
      <c r="B27" s="716">
        <f>IF(endchargen=0,0,fighting+fightingxp)</f>
        <v>3</v>
      </c>
      <c r="C27" s="691"/>
      <c r="D27" s="721" t="s">
        <v>593</v>
      </c>
      <c r="E27" s="721"/>
      <c r="F27" s="721"/>
      <c r="G27" s="721"/>
      <c r="H27" s="721"/>
      <c r="I27" s="721"/>
      <c r="J27" s="721"/>
      <c r="K27" s="344"/>
      <c r="L27" s="742">
        <f>Tables!ED23</f>
        <v>1</v>
      </c>
      <c r="M27" s="743"/>
      <c r="N27" s="744" t="str">
        <f>Tables!EC23</f>
        <v>Spears</v>
      </c>
      <c r="O27" s="744"/>
      <c r="P27" s="744"/>
      <c r="Q27" s="745"/>
      <c r="R27" s="691"/>
      <c r="S27" s="691"/>
      <c r="T27" s="716">
        <f>IF(endchargen=0,0,warfare+warfarexp)</f>
        <v>1</v>
      </c>
      <c r="U27" s="717"/>
      <c r="V27" s="691"/>
      <c r="W27" s="721" t="s">
        <v>604</v>
      </c>
      <c r="X27" s="721"/>
      <c r="Y27" s="721"/>
      <c r="Z27" s="721"/>
      <c r="AA27" s="721"/>
      <c r="AB27" s="344"/>
      <c r="AC27" s="276" t="str">
        <f>Tables!ED50</f>
        <v/>
      </c>
      <c r="AD27" s="733" t="str">
        <f>Tables!EC50</f>
        <v/>
      </c>
      <c r="AE27" s="734"/>
      <c r="AF27" s="344"/>
      <c r="AG27" s="229">
        <f t="shared" si="10"/>
        <v>0</v>
      </c>
      <c r="AH27" s="229">
        <f>CharGen!AH10</f>
        <v>5</v>
      </c>
      <c r="AI27" s="229">
        <f t="shared" ca="1" si="11"/>
        <v>30</v>
      </c>
      <c r="AL27" s="1"/>
      <c r="AM27" s="193" t="s">
        <v>712</v>
      </c>
      <c r="AN27" s="365"/>
      <c r="AO27" s="1"/>
      <c r="AP27" s="362"/>
      <c r="AQ27" s="631"/>
      <c r="AR27" s="632"/>
      <c r="AS27" s="1"/>
      <c r="AT27" s="229" t="str">
        <f>IF(AP27="","",VLOOKUP(AP27,Tables!$DQ$2:$EE$469,15,FALSE)*10)</f>
        <v/>
      </c>
      <c r="AU27" s="3" t="str">
        <f t="shared" si="7"/>
        <v/>
      </c>
      <c r="AX27"/>
      <c r="AY27"/>
      <c r="BC27" s="3">
        <f>COUNTIF($BD$4:BD25,"&lt;&gt;0")</f>
        <v>5</v>
      </c>
      <c r="BD27" s="321">
        <f>AM45</f>
        <v>0</v>
      </c>
      <c r="BE27" s="316">
        <f t="shared" si="8"/>
        <v>24</v>
      </c>
      <c r="BF27" s="326" t="str">
        <f t="shared" si="12"/>
        <v/>
      </c>
    </row>
    <row r="28" spans="1:58" ht="12.95" customHeight="1" thickBot="1">
      <c r="A28" s="691"/>
      <c r="B28" s="718"/>
      <c r="C28" s="691"/>
      <c r="D28" s="722"/>
      <c r="E28" s="722"/>
      <c r="F28" s="722"/>
      <c r="G28" s="722"/>
      <c r="H28" s="722"/>
      <c r="I28" s="722"/>
      <c r="J28" s="722"/>
      <c r="K28" s="344"/>
      <c r="L28" s="705" t="str">
        <f>Tables!ED24</f>
        <v/>
      </c>
      <c r="M28" s="706"/>
      <c r="N28" s="707" t="str">
        <f>Tables!EC24</f>
        <v/>
      </c>
      <c r="O28" s="707"/>
      <c r="P28" s="707"/>
      <c r="Q28" s="708"/>
      <c r="R28" s="691"/>
      <c r="S28" s="691"/>
      <c r="T28" s="718"/>
      <c r="U28" s="719"/>
      <c r="V28" s="691"/>
      <c r="W28" s="722"/>
      <c r="X28" s="722"/>
      <c r="Y28" s="722"/>
      <c r="Z28" s="722"/>
      <c r="AA28" s="722"/>
      <c r="AB28" s="344"/>
      <c r="AC28" s="273" t="str">
        <f>Tables!ED51</f>
        <v/>
      </c>
      <c r="AD28" s="735" t="str">
        <f>Tables!EC51</f>
        <v/>
      </c>
      <c r="AE28" s="709"/>
      <c r="AF28" s="344"/>
      <c r="AG28" s="229">
        <f t="shared" si="10"/>
        <v>0</v>
      </c>
      <c r="AH28" s="229">
        <f>CharGen!AH13</f>
        <v>5</v>
      </c>
      <c r="AI28" s="229">
        <f t="shared" ca="1" si="11"/>
        <v>90</v>
      </c>
      <c r="AL28" s="1"/>
      <c r="AM28" s="193" t="s">
        <v>717</v>
      </c>
      <c r="AN28" s="365"/>
      <c r="AO28" s="1"/>
      <c r="AP28" s="362"/>
      <c r="AQ28" s="631"/>
      <c r="AR28" s="632"/>
      <c r="AS28" s="1"/>
      <c r="AT28" s="229" t="str">
        <f>IF(AP28="","",VLOOKUP(AP28,Tables!$DQ$2:$EE$469,15,FALSE)*10)</f>
        <v/>
      </c>
      <c r="AU28" s="3" t="str">
        <f t="shared" si="7"/>
        <v/>
      </c>
      <c r="AX28"/>
      <c r="BE28"/>
    </row>
    <row r="29" spans="1:58" ht="12.95" customHeight="1" thickBot="1">
      <c r="A29" s="691"/>
      <c r="B29" s="718"/>
      <c r="C29" s="691"/>
      <c r="D29" s="694">
        <f>B27+fightingmod2</f>
        <v>3</v>
      </c>
      <c r="E29" s="695"/>
      <c r="F29" s="695"/>
      <c r="G29" s="695"/>
      <c r="H29" s="696">
        <f>fightingbonus2</f>
        <v>0</v>
      </c>
      <c r="I29" s="696"/>
      <c r="J29" s="696"/>
      <c r="K29" s="344"/>
      <c r="L29" s="748" t="str">
        <f>Tables!ED25</f>
        <v/>
      </c>
      <c r="M29" s="749"/>
      <c r="N29" s="750" t="str">
        <f>Tables!EC25</f>
        <v/>
      </c>
      <c r="O29" s="750"/>
      <c r="P29" s="750"/>
      <c r="Q29" s="751"/>
      <c r="R29" s="691"/>
      <c r="S29" s="691"/>
      <c r="T29" s="746"/>
      <c r="U29" s="747"/>
      <c r="V29" s="691"/>
      <c r="W29" s="694">
        <f>T27+warfaremod2</f>
        <v>1</v>
      </c>
      <c r="X29" s="713"/>
      <c r="Y29" s="713"/>
      <c r="Z29" s="696">
        <f>warfarebonus2</f>
        <v>0</v>
      </c>
      <c r="AA29" s="696"/>
      <c r="AB29" s="344"/>
      <c r="AC29" s="277" t="str">
        <f>Tables!ED52</f>
        <v/>
      </c>
      <c r="AD29" s="736" t="str">
        <f>Tables!EC52</f>
        <v/>
      </c>
      <c r="AE29" s="737"/>
      <c r="AF29" s="344"/>
      <c r="AG29" s="229">
        <f t="shared" si="10"/>
        <v>0</v>
      </c>
      <c r="AH29" s="229">
        <f>CharGen!AH16</f>
        <v>7</v>
      </c>
      <c r="AI29" s="229">
        <f t="shared" ca="1" si="11"/>
        <v>180</v>
      </c>
      <c r="AL29" s="1"/>
      <c r="AM29" s="193" t="s">
        <v>721</v>
      </c>
      <c r="AN29" s="365"/>
      <c r="AO29" s="1"/>
      <c r="AP29" s="362"/>
      <c r="AQ29" s="631"/>
      <c r="AR29" s="632"/>
      <c r="AS29" s="1"/>
      <c r="AT29" s="229" t="str">
        <f>IF(AP29="","",VLOOKUP(AP29,Tables!$DQ$2:$EE$469,15,FALSE)*10)</f>
        <v/>
      </c>
      <c r="AU29" s="3" t="str">
        <f t="shared" si="7"/>
        <v/>
      </c>
      <c r="AX29"/>
      <c r="BE29"/>
    </row>
    <row r="30" spans="1:58" ht="12.95" customHeight="1" thickBot="1">
      <c r="A30" s="691"/>
      <c r="B30" s="716">
        <f>IF(endchargen=0,0,healing+healingxp)</f>
        <v>3</v>
      </c>
      <c r="C30" s="691"/>
      <c r="D30" s="721" t="s">
        <v>594</v>
      </c>
      <c r="E30" s="721"/>
      <c r="F30" s="721"/>
      <c r="G30" s="721"/>
      <c r="H30" s="721"/>
      <c r="I30" s="721"/>
      <c r="J30" s="721"/>
      <c r="K30" s="344"/>
      <c r="L30" s="742" t="str">
        <f>Tables!ED26</f>
        <v/>
      </c>
      <c r="M30" s="743"/>
      <c r="N30" s="744" t="str">
        <f>Tables!EC26</f>
        <v/>
      </c>
      <c r="O30" s="744"/>
      <c r="P30" s="744"/>
      <c r="Q30" s="745"/>
      <c r="R30" s="691"/>
      <c r="S30" s="691"/>
      <c r="T30" s="716">
        <f>IF(endchargen=0,0,will+willxp)</f>
        <v>3</v>
      </c>
      <c r="U30" s="717"/>
      <c r="V30" s="691"/>
      <c r="W30" s="721" t="s">
        <v>605</v>
      </c>
      <c r="X30" s="721"/>
      <c r="Y30" s="721"/>
      <c r="Z30" s="721"/>
      <c r="AA30" s="721"/>
      <c r="AB30" s="344"/>
      <c r="AC30" s="276" t="str">
        <f>Tables!ED53</f>
        <v/>
      </c>
      <c r="AD30" s="733" t="str">
        <f>Tables!EC53</f>
        <v/>
      </c>
      <c r="AE30" s="734"/>
      <c r="AF30" s="344"/>
      <c r="AG30" s="229">
        <f t="shared" si="10"/>
        <v>0</v>
      </c>
      <c r="AH30" s="229">
        <f>CharGen!AH19</f>
        <v>5</v>
      </c>
      <c r="AI30" s="229">
        <f t="shared" ca="1" si="11"/>
        <v>30</v>
      </c>
      <c r="AL30" s="1"/>
      <c r="AM30" s="287" t="s">
        <v>725</v>
      </c>
      <c r="AN30" s="366"/>
      <c r="AO30" s="1"/>
      <c r="AP30" s="362"/>
      <c r="AQ30" s="631"/>
      <c r="AR30" s="632"/>
      <c r="AS30" s="1"/>
      <c r="AT30" s="229" t="str">
        <f>IF(AP30="","",VLOOKUP(AP30,Tables!$DQ$2:$EE$469,15,FALSE)*10)</f>
        <v/>
      </c>
      <c r="AU30" s="3" t="str">
        <f t="shared" si="7"/>
        <v/>
      </c>
      <c r="AX30"/>
      <c r="BE30"/>
    </row>
    <row r="31" spans="1:58" ht="12.95" customHeight="1" thickBot="1">
      <c r="A31" s="691"/>
      <c r="B31" s="718"/>
      <c r="C31" s="691"/>
      <c r="D31" s="722"/>
      <c r="E31" s="722"/>
      <c r="F31" s="722"/>
      <c r="G31" s="722"/>
      <c r="H31" s="722"/>
      <c r="I31" s="722"/>
      <c r="J31" s="722"/>
      <c r="K31" s="344"/>
      <c r="L31" s="705" t="str">
        <f>Tables!ED27</f>
        <v/>
      </c>
      <c r="M31" s="706"/>
      <c r="N31" s="707" t="str">
        <f>Tables!EC27</f>
        <v/>
      </c>
      <c r="O31" s="707"/>
      <c r="P31" s="707"/>
      <c r="Q31" s="708"/>
      <c r="R31" s="691"/>
      <c r="S31" s="691"/>
      <c r="T31" s="718"/>
      <c r="U31" s="719"/>
      <c r="V31" s="691"/>
      <c r="W31" s="722"/>
      <c r="X31" s="722"/>
      <c r="Y31" s="722"/>
      <c r="Z31" s="722"/>
      <c r="AA31" s="722"/>
      <c r="AB31" s="344"/>
      <c r="AC31" s="273" t="str">
        <f>Tables!ED54</f>
        <v/>
      </c>
      <c r="AD31" s="735" t="str">
        <f>Tables!EC54</f>
        <v/>
      </c>
      <c r="AE31" s="709"/>
      <c r="AF31" s="344"/>
      <c r="AG31" s="229">
        <f t="shared" si="10"/>
        <v>0</v>
      </c>
      <c r="AH31" s="229">
        <f>CharGen!AH22</f>
        <v>5</v>
      </c>
      <c r="AI31" s="229">
        <f t="shared" ca="1" si="11"/>
        <v>60</v>
      </c>
      <c r="AL31" s="1"/>
      <c r="AM31" s="288" t="s">
        <v>478</v>
      </c>
      <c r="AN31" s="289" t="s">
        <v>461</v>
      </c>
      <c r="AO31" s="1"/>
      <c r="AP31" s="362"/>
      <c r="AQ31" s="631"/>
      <c r="AR31" s="632"/>
      <c r="AS31" s="1"/>
      <c r="AT31" s="229" t="str">
        <f>IF(AP31="","",VLOOKUP(AP31,Tables!$DQ$2:$EE$469,15,FALSE)*10)</f>
        <v/>
      </c>
      <c r="AU31" s="3" t="str">
        <f t="shared" si="7"/>
        <v/>
      </c>
      <c r="AX31"/>
      <c r="BE31"/>
    </row>
    <row r="32" spans="1:58" ht="12.95" customHeight="1" thickBot="1">
      <c r="A32" s="691"/>
      <c r="B32" s="718"/>
      <c r="C32" s="691"/>
      <c r="D32" s="694">
        <f>B30+healingmod2</f>
        <v>3</v>
      </c>
      <c r="E32" s="695"/>
      <c r="F32" s="695"/>
      <c r="G32" s="695"/>
      <c r="H32" s="696">
        <f>healingbonus2</f>
        <v>0</v>
      </c>
      <c r="I32" s="696"/>
      <c r="J32" s="696"/>
      <c r="K32" s="344"/>
      <c r="L32" s="748" t="str">
        <f>Tables!ED28</f>
        <v/>
      </c>
      <c r="M32" s="749"/>
      <c r="N32" s="750" t="str">
        <f>Tables!EC28</f>
        <v/>
      </c>
      <c r="O32" s="750"/>
      <c r="P32" s="750"/>
      <c r="Q32" s="751"/>
      <c r="R32" s="691"/>
      <c r="S32" s="691"/>
      <c r="T32" s="752"/>
      <c r="U32" s="753"/>
      <c r="V32" s="691"/>
      <c r="W32" s="694">
        <f>T30+willmod2</f>
        <v>3</v>
      </c>
      <c r="X32" s="713"/>
      <c r="Y32" s="713"/>
      <c r="Z32" s="696">
        <f>willbonus2</f>
        <v>0</v>
      </c>
      <c r="AA32" s="696"/>
      <c r="AB32" s="344"/>
      <c r="AC32" s="277" t="str">
        <f>Tables!ED55</f>
        <v/>
      </c>
      <c r="AD32" s="736" t="str">
        <f>Tables!EC55</f>
        <v/>
      </c>
      <c r="AE32" s="737"/>
      <c r="AF32" s="344"/>
      <c r="AG32" s="229">
        <f t="shared" si="10"/>
        <v>0</v>
      </c>
      <c r="AH32" s="229">
        <f>CharGen!AH25</f>
        <v>5</v>
      </c>
      <c r="AI32" s="229">
        <f t="shared" ca="1" si="11"/>
        <v>30</v>
      </c>
      <c r="AL32" s="1"/>
      <c r="AM32" s="362"/>
      <c r="AN32" s="365"/>
      <c r="AO32" s="1"/>
      <c r="AP32" s="362"/>
      <c r="AQ32" s="631"/>
      <c r="AR32" s="632"/>
      <c r="AS32" s="1"/>
      <c r="AT32" s="229" t="str">
        <f>IF(AP32="","",VLOOKUP(AP32,Tables!$DQ$2:$EE$469,15,FALSE)*10)</f>
        <v/>
      </c>
      <c r="AU32" s="3" t="str">
        <f t="shared" si="7"/>
        <v/>
      </c>
      <c r="AX32"/>
      <c r="BD32" s="8"/>
    </row>
    <row r="33" spans="1:56" ht="12.95" customHeight="1" thickTop="1" thickBot="1">
      <c r="A33" s="691"/>
      <c r="B33" s="716">
        <f>IF(endchargen=0,0,language+languagexp)</f>
        <v>2</v>
      </c>
      <c r="C33" s="691"/>
      <c r="D33" s="721" t="s">
        <v>595</v>
      </c>
      <c r="E33" s="723"/>
      <c r="F33" s="723"/>
      <c r="G33" s="723"/>
      <c r="H33" s="723"/>
      <c r="I33" s="723"/>
      <c r="J33" s="723"/>
      <c r="K33" s="344"/>
      <c r="L33" s="762" t="str">
        <f>BA7</f>
        <v/>
      </c>
      <c r="M33" s="763"/>
      <c r="N33" s="740" t="str">
        <f>AZ7</f>
        <v/>
      </c>
      <c r="O33" s="740"/>
      <c r="P33" s="740"/>
      <c r="Q33" s="741"/>
      <c r="R33" s="758"/>
      <c r="S33" s="758"/>
      <c r="T33" s="266" t="str">
        <f>BA10</f>
        <v/>
      </c>
      <c r="U33" s="764" t="str">
        <f>AZ10</f>
        <v/>
      </c>
      <c r="V33" s="765"/>
      <c r="W33" s="765"/>
      <c r="X33" s="765"/>
      <c r="Y33" s="765"/>
      <c r="Z33" s="765"/>
      <c r="AA33" s="766"/>
      <c r="AB33" s="267"/>
      <c r="AC33" s="265" t="str">
        <f>BA13</f>
        <v/>
      </c>
      <c r="AD33" s="754" t="str">
        <f>AZ13</f>
        <v/>
      </c>
      <c r="AE33" s="755"/>
      <c r="AF33" s="344"/>
      <c r="AG33" s="229">
        <f t="shared" si="10"/>
        <v>0</v>
      </c>
      <c r="AH33" s="229">
        <f>CharGen!AH28</f>
        <v>5</v>
      </c>
      <c r="AI33" s="229">
        <f t="shared" ca="1" si="11"/>
        <v>120</v>
      </c>
      <c r="AK33" s="4"/>
      <c r="AL33" s="285"/>
      <c r="AM33" s="362"/>
      <c r="AN33" s="365"/>
      <c r="AO33" s="1"/>
      <c r="AP33" s="362"/>
      <c r="AQ33" s="631"/>
      <c r="AR33" s="632"/>
      <c r="AS33" s="1"/>
      <c r="AT33" s="229" t="str">
        <f>IF(AP33="","",VLOOKUP(AP33,Tables!$DQ$2:$EE$469,15,FALSE)*10)</f>
        <v/>
      </c>
      <c r="AU33" s="3" t="str">
        <f t="shared" si="7"/>
        <v/>
      </c>
      <c r="AX33"/>
      <c r="BD33" s="8"/>
    </row>
    <row r="34" spans="1:56" ht="12.95" customHeight="1" thickBot="1">
      <c r="A34" s="691"/>
      <c r="B34" s="718"/>
      <c r="C34" s="691"/>
      <c r="D34" s="724"/>
      <c r="E34" s="724"/>
      <c r="F34" s="724"/>
      <c r="G34" s="724"/>
      <c r="H34" s="724"/>
      <c r="I34" s="724"/>
      <c r="J34" s="724"/>
      <c r="K34" s="344"/>
      <c r="L34" s="756" t="str">
        <f>BA8</f>
        <v/>
      </c>
      <c r="M34" s="757"/>
      <c r="N34" s="707" t="str">
        <f>AZ8</f>
        <v/>
      </c>
      <c r="O34" s="707"/>
      <c r="P34" s="707"/>
      <c r="Q34" s="708"/>
      <c r="R34" s="758"/>
      <c r="S34" s="758"/>
      <c r="T34" s="269" t="str">
        <f>BA11</f>
        <v/>
      </c>
      <c r="U34" s="759" t="str">
        <f>AZ11</f>
        <v/>
      </c>
      <c r="V34" s="760"/>
      <c r="W34" s="760"/>
      <c r="X34" s="760"/>
      <c r="Y34" s="760"/>
      <c r="Z34" s="760"/>
      <c r="AA34" s="761"/>
      <c r="AB34" s="267"/>
      <c r="AC34" s="268" t="str">
        <f>BA14</f>
        <v/>
      </c>
      <c r="AD34" s="735" t="str">
        <f>AZ14</f>
        <v/>
      </c>
      <c r="AE34" s="709"/>
      <c r="AF34" s="344"/>
      <c r="AG34" s="229">
        <f t="shared" si="10"/>
        <v>0</v>
      </c>
      <c r="AH34" s="229">
        <f>CharGen!AH31</f>
        <v>5</v>
      </c>
      <c r="AI34" s="229">
        <f t="shared" ca="1" si="11"/>
        <v>60</v>
      </c>
      <c r="AK34" s="4"/>
      <c r="AL34" s="285"/>
      <c r="AM34" s="362"/>
      <c r="AN34" s="365"/>
      <c r="AO34" s="1"/>
      <c r="AP34" s="362"/>
      <c r="AQ34" s="631"/>
      <c r="AR34" s="632"/>
      <c r="AS34" s="1"/>
      <c r="AT34" s="229" t="str">
        <f>IF(AP34="","",VLOOKUP(AP34,Tables!$DQ$2:$EE$469,15,FALSE)*10)</f>
        <v/>
      </c>
      <c r="AU34" s="3" t="str">
        <f t="shared" si="7"/>
        <v/>
      </c>
      <c r="AX34"/>
      <c r="BD34" s="8"/>
    </row>
    <row r="35" spans="1:56" ht="12.95" customHeight="1" thickBot="1">
      <c r="A35" s="691"/>
      <c r="B35" s="746"/>
      <c r="C35" s="691"/>
      <c r="D35" s="694">
        <f>B33+languagemod2</f>
        <v>2</v>
      </c>
      <c r="E35" s="695"/>
      <c r="F35" s="695"/>
      <c r="G35" s="695"/>
      <c r="H35" s="696">
        <f>languagebonus2</f>
        <v>0</v>
      </c>
      <c r="I35" s="696"/>
      <c r="J35" s="696"/>
      <c r="K35" s="344"/>
      <c r="L35" s="774" t="str">
        <f>BA9</f>
        <v/>
      </c>
      <c r="M35" s="775"/>
      <c r="N35" s="727" t="str">
        <f>AZ9</f>
        <v/>
      </c>
      <c r="O35" s="727"/>
      <c r="P35" s="727"/>
      <c r="Q35" s="728"/>
      <c r="R35" s="776"/>
      <c r="S35" s="776"/>
      <c r="T35" s="271" t="str">
        <f>BA12</f>
        <v/>
      </c>
      <c r="U35" s="777" t="str">
        <f>AZ12</f>
        <v/>
      </c>
      <c r="V35" s="778"/>
      <c r="W35" s="778"/>
      <c r="X35" s="778"/>
      <c r="Y35" s="778"/>
      <c r="Z35" s="778"/>
      <c r="AA35" s="779"/>
      <c r="AB35" s="267"/>
      <c r="AC35" s="270" t="str">
        <f>BA15</f>
        <v/>
      </c>
      <c r="AD35" s="767" t="str">
        <f>AZ15</f>
        <v/>
      </c>
      <c r="AE35" s="714"/>
      <c r="AF35" s="344"/>
      <c r="AG35" s="4"/>
      <c r="AH35" s="4"/>
      <c r="AK35" s="4"/>
      <c r="AL35" s="285"/>
      <c r="AM35" s="363"/>
      <c r="AN35" s="367"/>
      <c r="AO35" s="1"/>
      <c r="AP35" s="363"/>
      <c r="AQ35" s="639"/>
      <c r="AR35" s="640"/>
      <c r="AS35" s="1"/>
      <c r="AT35" s="229" t="str">
        <f>IF(AP35="","",VLOOKUP(AP35,Tables!$DQ$2:$EE$469,15,FALSE)*10)</f>
        <v/>
      </c>
      <c r="AU35" s="3" t="str">
        <f t="shared" si="7"/>
        <v/>
      </c>
      <c r="AV35" s="3" t="str">
        <f>IF(AU35="","",VLOOKUP(AU35,$AT$16:$AT$34,2,FALSE)+COUNTIF($AU$7:AU35,AU35))</f>
        <v/>
      </c>
      <c r="AW35"/>
      <c r="AX35"/>
      <c r="BD35" s="8"/>
    </row>
    <row r="36" spans="1:56" ht="18" thickTop="1">
      <c r="A36" s="344"/>
      <c r="B36" s="768" t="s">
        <v>608</v>
      </c>
      <c r="C36" s="769"/>
      <c r="D36" s="769"/>
      <c r="E36" s="769"/>
      <c r="F36" s="769"/>
      <c r="G36" s="769"/>
      <c r="H36" s="769"/>
      <c r="I36" s="769"/>
      <c r="J36" s="769"/>
      <c r="K36" s="770"/>
      <c r="L36" s="770"/>
      <c r="M36" s="770"/>
      <c r="N36" s="770"/>
      <c r="O36" s="770"/>
      <c r="P36" s="771" t="s">
        <v>171</v>
      </c>
      <c r="Q36" s="771"/>
      <c r="R36" s="772"/>
      <c r="S36" s="772"/>
      <c r="T36" s="773" t="s">
        <v>609</v>
      </c>
      <c r="U36" s="773"/>
      <c r="V36" s="773"/>
      <c r="W36" s="773"/>
      <c r="X36" s="773"/>
      <c r="Y36" s="773"/>
      <c r="Z36" s="773"/>
      <c r="AA36" s="773"/>
      <c r="AB36" s="349"/>
      <c r="AC36" s="773" t="s">
        <v>610</v>
      </c>
      <c r="AD36" s="773"/>
      <c r="AE36" s="773"/>
      <c r="AF36" s="344"/>
      <c r="AG36" s="202"/>
      <c r="AH36" s="808" t="s">
        <v>482</v>
      </c>
      <c r="AI36" s="657" t="s">
        <v>481</v>
      </c>
      <c r="AL36" s="1"/>
      <c r="AM36" s="1"/>
      <c r="AN36" s="1"/>
      <c r="AO36" s="1"/>
      <c r="AP36" s="1"/>
      <c r="AQ36" s="1"/>
      <c r="AR36" s="1"/>
      <c r="AS36" s="1"/>
      <c r="AV36"/>
      <c r="AW36"/>
      <c r="AX36"/>
      <c r="AY36"/>
      <c r="AZ36"/>
      <c r="BA36"/>
      <c r="BB36"/>
      <c r="BC36"/>
      <c r="BD36" s="8"/>
    </row>
    <row r="37" spans="1:56" ht="2.1" customHeight="1" thickBot="1">
      <c r="A37" s="344"/>
      <c r="B37" s="348"/>
      <c r="C37" s="348"/>
      <c r="D37" s="691"/>
      <c r="E37" s="693"/>
      <c r="F37" s="693"/>
      <c r="G37" s="693"/>
      <c r="H37" s="693"/>
      <c r="I37" s="693"/>
      <c r="J37" s="693"/>
      <c r="K37" s="693"/>
      <c r="L37" s="693"/>
      <c r="M37" s="693"/>
      <c r="N37" s="693"/>
      <c r="O37" s="693"/>
      <c r="P37" s="691"/>
      <c r="Q37" s="691"/>
      <c r="R37" s="691"/>
      <c r="S37" s="691"/>
      <c r="T37" s="691"/>
      <c r="U37" s="691"/>
      <c r="V37" s="691"/>
      <c r="W37" s="691"/>
      <c r="X37" s="691"/>
      <c r="Y37" s="691"/>
      <c r="Z37" s="691"/>
      <c r="AA37" s="691"/>
      <c r="AB37" s="344"/>
      <c r="AC37" s="691"/>
      <c r="AD37" s="691"/>
      <c r="AE37" s="691"/>
      <c r="AF37" s="344"/>
      <c r="AG37" s="128"/>
      <c r="AH37" s="809"/>
      <c r="AI37" s="658"/>
      <c r="AL37" s="1"/>
      <c r="AO37" s="1"/>
      <c r="AS37" s="1"/>
      <c r="AV37"/>
      <c r="AW37"/>
      <c r="AX37"/>
      <c r="AY37"/>
      <c r="AZ37"/>
      <c r="BA37"/>
      <c r="BB37"/>
      <c r="BC37"/>
      <c r="BD37" s="8"/>
    </row>
    <row r="38" spans="1:56" ht="17.45" customHeight="1" thickBot="1">
      <c r="A38" s="348"/>
      <c r="B38" s="881" t="str">
        <f>BJ4</f>
        <v>Acrobatic Defence</v>
      </c>
      <c r="C38" s="882"/>
      <c r="D38" s="882"/>
      <c r="E38" s="882"/>
      <c r="F38" s="882"/>
      <c r="G38" s="882"/>
      <c r="H38" s="882"/>
      <c r="I38" s="882"/>
      <c r="J38" s="882"/>
      <c r="K38" s="882"/>
      <c r="L38" s="882"/>
      <c r="M38" s="882"/>
      <c r="N38" s="882"/>
      <c r="O38" s="883"/>
      <c r="P38" s="787"/>
      <c r="Q38" s="788"/>
      <c r="R38" s="691"/>
      <c r="S38" s="691"/>
      <c r="T38" s="789" t="s">
        <v>611</v>
      </c>
      <c r="U38" s="789"/>
      <c r="V38" s="789"/>
      <c r="W38" s="789"/>
      <c r="X38" s="789"/>
      <c r="Y38" s="789"/>
      <c r="Z38" s="781">
        <f>B15+B18+T15+IDbonus2</f>
        <v>6</v>
      </c>
      <c r="AA38" s="782"/>
      <c r="AB38" s="350"/>
      <c r="AC38" s="789" t="s">
        <v>612</v>
      </c>
      <c r="AD38" s="790"/>
      <c r="AE38" s="351">
        <f>B6+B12+B15+armourpen+cdbonus2</f>
        <v>11</v>
      </c>
      <c r="AF38" s="340"/>
      <c r="AG38" s="128"/>
      <c r="AH38" s="302">
        <f>IF(B38="","",VLOOKUP(B38,allqualities,4,FALSE))</f>
        <v>0</v>
      </c>
      <c r="AI38" s="262">
        <f>IF(AH38="y",99,0)</f>
        <v>0</v>
      </c>
      <c r="AL38" s="1"/>
      <c r="AM38" s="637" t="s">
        <v>480</v>
      </c>
      <c r="AN38" s="659"/>
      <c r="AO38" s="1"/>
      <c r="AP38" s="637" t="s">
        <v>483</v>
      </c>
      <c r="AQ38" s="638"/>
      <c r="AR38" s="304" t="s">
        <v>484</v>
      </c>
      <c r="AS38" s="1"/>
      <c r="AV38"/>
      <c r="AW38"/>
      <c r="AX38"/>
      <c r="AY38"/>
      <c r="AZ38"/>
      <c r="BA38"/>
      <c r="BB38"/>
      <c r="BC38"/>
      <c r="BD38" s="8"/>
    </row>
    <row r="39" spans="1:56" ht="14.65" customHeight="1" thickBot="1">
      <c r="A39" s="691"/>
      <c r="B39" s="867" t="str">
        <f>BJ5</f>
        <v>Night Eyes</v>
      </c>
      <c r="C39" s="868"/>
      <c r="D39" s="868"/>
      <c r="E39" s="868"/>
      <c r="F39" s="868"/>
      <c r="G39" s="868"/>
      <c r="H39" s="868"/>
      <c r="I39" s="868"/>
      <c r="J39" s="868"/>
      <c r="K39" s="868"/>
      <c r="L39" s="868"/>
      <c r="M39" s="868"/>
      <c r="N39" s="868"/>
      <c r="O39" s="869"/>
      <c r="P39" s="797"/>
      <c r="Q39" s="798"/>
      <c r="R39" s="691"/>
      <c r="S39" s="691"/>
      <c r="T39" s="799" t="s">
        <v>257</v>
      </c>
      <c r="U39" s="800"/>
      <c r="V39" s="800"/>
      <c r="W39" s="800"/>
      <c r="X39" s="800"/>
      <c r="Y39" s="800"/>
      <c r="Z39" s="800"/>
      <c r="AA39" s="800"/>
      <c r="AB39" s="350"/>
      <c r="AC39" s="785" t="s">
        <v>514</v>
      </c>
      <c r="AD39" s="786"/>
      <c r="AE39" s="786"/>
      <c r="AF39" s="691"/>
      <c r="AG39" s="866"/>
      <c r="AH39" s="819">
        <f>IF(B39="","",VLOOKUP(B39,allqualities,4,FALSE))</f>
        <v>0</v>
      </c>
      <c r="AI39" s="645">
        <f t="shared" ref="AI39:AI49" si="13">IF(AH39="y",99,0)</f>
        <v>0</v>
      </c>
      <c r="AL39" s="1"/>
      <c r="AM39" s="651"/>
      <c r="AN39" s="652"/>
      <c r="AO39" s="1"/>
      <c r="AP39" s="641"/>
      <c r="AQ39" s="642"/>
      <c r="AR39" s="635"/>
      <c r="AS39" s="1"/>
      <c r="AT39" s="3">
        <f>IF(AP39="",0,IF(AR39="y",1,0))</f>
        <v>0</v>
      </c>
      <c r="AV39"/>
      <c r="AW39" s="3" t="str">
        <f>Tables!DB332</f>
        <v>Tables!$DB$236:$DB$288</v>
      </c>
      <c r="AX39"/>
      <c r="AY39"/>
      <c r="AZ39"/>
      <c r="BA39"/>
      <c r="BB39"/>
      <c r="BC39"/>
    </row>
    <row r="40" spans="1:56" ht="2.4500000000000002" customHeight="1" thickBot="1">
      <c r="A40" s="691"/>
      <c r="B40" s="868"/>
      <c r="C40" s="868"/>
      <c r="D40" s="868"/>
      <c r="E40" s="868"/>
      <c r="F40" s="868"/>
      <c r="G40" s="868"/>
      <c r="H40" s="868"/>
      <c r="I40" s="868"/>
      <c r="J40" s="868"/>
      <c r="K40" s="868"/>
      <c r="L40" s="868"/>
      <c r="M40" s="868"/>
      <c r="N40" s="868"/>
      <c r="O40" s="869"/>
      <c r="P40" s="797"/>
      <c r="Q40" s="798"/>
      <c r="R40" s="691"/>
      <c r="S40" s="691"/>
      <c r="T40" s="665"/>
      <c r="U40" s="665"/>
      <c r="V40" s="665"/>
      <c r="W40" s="665"/>
      <c r="X40" s="665"/>
      <c r="Y40" s="665"/>
      <c r="Z40" s="665"/>
      <c r="AA40" s="665"/>
      <c r="AB40" s="340"/>
      <c r="AC40" s="780"/>
      <c r="AD40" s="780"/>
      <c r="AE40" s="780"/>
      <c r="AF40" s="691"/>
      <c r="AG40" s="866"/>
      <c r="AH40" s="820"/>
      <c r="AI40" s="646"/>
      <c r="AL40" s="2"/>
      <c r="AM40" s="651"/>
      <c r="AN40" s="652"/>
      <c r="AO40" s="1"/>
      <c r="AP40" s="643"/>
      <c r="AQ40" s="644"/>
      <c r="AR40" s="636"/>
      <c r="AS40" s="1"/>
      <c r="AV40"/>
      <c r="AX40"/>
      <c r="AY40"/>
      <c r="AZ40"/>
      <c r="BA40"/>
      <c r="BB40"/>
      <c r="BC40"/>
    </row>
    <row r="41" spans="1:56" ht="17.45" customHeight="1" thickBot="1">
      <c r="A41" s="348"/>
      <c r="B41" s="867" t="str">
        <f t="shared" ref="B41:B47" si="14">BJ6</f>
        <v>Furtive</v>
      </c>
      <c r="C41" s="868"/>
      <c r="D41" s="868"/>
      <c r="E41" s="868"/>
      <c r="F41" s="868"/>
      <c r="G41" s="868"/>
      <c r="H41" s="868"/>
      <c r="I41" s="868"/>
      <c r="J41" s="868"/>
      <c r="K41" s="868"/>
      <c r="L41" s="868"/>
      <c r="M41" s="868"/>
      <c r="N41" s="868"/>
      <c r="O41" s="869"/>
      <c r="P41" s="797"/>
      <c r="Q41" s="798"/>
      <c r="R41" s="691"/>
      <c r="S41" s="665"/>
      <c r="T41" s="783" t="s">
        <v>614</v>
      </c>
      <c r="U41" s="783"/>
      <c r="V41" s="783"/>
      <c r="W41" s="783"/>
      <c r="X41" s="783"/>
      <c r="Y41" s="783"/>
      <c r="Z41" s="781">
        <f>T30 *3+compbonus2</f>
        <v>9</v>
      </c>
      <c r="AA41" s="782"/>
      <c r="AB41" s="340"/>
      <c r="AC41" s="783" t="s">
        <v>613</v>
      </c>
      <c r="AD41" s="784"/>
      <c r="AE41" s="352">
        <f>B24*3+healthbonus2</f>
        <v>9</v>
      </c>
      <c r="AF41" s="691"/>
      <c r="AG41" s="128"/>
      <c r="AH41" s="301">
        <f t="shared" ref="AH41:AH46" si="15">IF(B41="","",VLOOKUP(B41,allqualities,4,FALSE))</f>
        <v>0</v>
      </c>
      <c r="AI41" s="263">
        <f t="shared" si="13"/>
        <v>0</v>
      </c>
      <c r="AL41" s="286"/>
      <c r="AM41" s="651"/>
      <c r="AN41" s="652"/>
      <c r="AO41" s="1"/>
      <c r="AP41" s="629"/>
      <c r="AQ41" s="630"/>
      <c r="AR41" s="365"/>
      <c r="AS41" s="1"/>
      <c r="AT41" s="3">
        <f>IF(AP41="",0,IF(AR41="y",1,0))</f>
        <v>0</v>
      </c>
      <c r="AV41"/>
      <c r="AW41" s="3" t="str">
        <f>Tables!DD332</f>
        <v>Tables!$DE$2</v>
      </c>
      <c r="AX41"/>
      <c r="AY41"/>
      <c r="AZ41"/>
      <c r="BA41"/>
      <c r="BB41"/>
      <c r="BC41"/>
      <c r="BD41"/>
    </row>
    <row r="42" spans="1:56" ht="17.45" customHeight="1" thickBot="1">
      <c r="A42" s="348"/>
      <c r="B42" s="867" t="str">
        <f t="shared" si="14"/>
        <v/>
      </c>
      <c r="C42" s="868"/>
      <c r="D42" s="868"/>
      <c r="E42" s="868"/>
      <c r="F42" s="868"/>
      <c r="G42" s="868"/>
      <c r="H42" s="868"/>
      <c r="I42" s="868"/>
      <c r="J42" s="868"/>
      <c r="K42" s="868"/>
      <c r="L42" s="868"/>
      <c r="M42" s="868"/>
      <c r="N42" s="868"/>
      <c r="O42" s="869"/>
      <c r="P42" s="797"/>
      <c r="Q42" s="798"/>
      <c r="R42" s="691"/>
      <c r="S42" s="691"/>
      <c r="T42" s="799" t="s">
        <v>615</v>
      </c>
      <c r="U42" s="799"/>
      <c r="V42" s="799"/>
      <c r="W42" s="799"/>
      <c r="X42" s="799"/>
      <c r="Y42" s="799"/>
      <c r="Z42" s="799"/>
      <c r="AA42" s="799"/>
      <c r="AB42" s="340"/>
      <c r="AC42" s="801" t="s">
        <v>616</v>
      </c>
      <c r="AD42" s="801"/>
      <c r="AE42" s="801"/>
      <c r="AF42" s="340"/>
      <c r="AG42" s="128"/>
      <c r="AH42" s="301" t="str">
        <f t="shared" si="15"/>
        <v/>
      </c>
      <c r="AI42" s="263">
        <f t="shared" si="13"/>
        <v>0</v>
      </c>
      <c r="AL42" s="1"/>
      <c r="AM42" s="651"/>
      <c r="AN42" s="652"/>
      <c r="AO42" s="1"/>
      <c r="AP42" s="629"/>
      <c r="AQ42" s="630"/>
      <c r="AR42" s="365"/>
      <c r="AS42" s="1"/>
      <c r="AT42" s="3">
        <f>IF(AP42="",0,IF(AR42="y",1,0))</f>
        <v>0</v>
      </c>
      <c r="AV42"/>
      <c r="AW42" s="3" t="str">
        <f>Tables!DF332</f>
        <v>Tables!$DE$2</v>
      </c>
      <c r="AX42"/>
      <c r="AY42"/>
      <c r="AZ42"/>
      <c r="BA42"/>
      <c r="BB42"/>
      <c r="BC42"/>
      <c r="BD42"/>
    </row>
    <row r="43" spans="1:56" ht="17.45" customHeight="1" thickTop="1" thickBot="1">
      <c r="A43" s="348"/>
      <c r="B43" s="867" t="str">
        <f t="shared" si="14"/>
        <v/>
      </c>
      <c r="C43" s="868"/>
      <c r="D43" s="868"/>
      <c r="E43" s="868"/>
      <c r="F43" s="868"/>
      <c r="G43" s="868"/>
      <c r="H43" s="868"/>
      <c r="I43" s="868"/>
      <c r="J43" s="868"/>
      <c r="K43" s="868"/>
      <c r="L43" s="868"/>
      <c r="M43" s="868"/>
      <c r="N43" s="868"/>
      <c r="O43" s="869"/>
      <c r="P43" s="797"/>
      <c r="Q43" s="798"/>
      <c r="R43" s="691"/>
      <c r="S43" s="665"/>
      <c r="T43" s="821" t="s">
        <v>273</v>
      </c>
      <c r="U43" s="822"/>
      <c r="V43" s="822"/>
      <c r="W43" s="822"/>
      <c r="X43" s="822"/>
      <c r="Y43" s="822"/>
      <c r="Z43" s="822"/>
      <c r="AA43" s="823"/>
      <c r="AB43" s="340"/>
      <c r="AC43" s="870" t="s">
        <v>272</v>
      </c>
      <c r="AD43" s="871"/>
      <c r="AE43" s="872"/>
      <c r="AF43" s="691"/>
      <c r="AG43" s="128"/>
      <c r="AH43" s="301" t="str">
        <f t="shared" si="15"/>
        <v/>
      </c>
      <c r="AI43" s="263">
        <f t="shared" si="13"/>
        <v>0</v>
      </c>
      <c r="AL43" s="1"/>
      <c r="AM43" s="651"/>
      <c r="AN43" s="652"/>
      <c r="AO43" s="1"/>
      <c r="AP43" s="629"/>
      <c r="AQ43" s="630"/>
      <c r="AR43" s="365"/>
      <c r="AS43" s="1"/>
      <c r="AT43" s="3">
        <f>IF(AP43="",0,IF(AR43="y",1,0))</f>
        <v>0</v>
      </c>
      <c r="AV43"/>
      <c r="AW43" s="3" t="str">
        <f>Tables!DH332</f>
        <v>Tables!$DE$2</v>
      </c>
      <c r="AX43"/>
      <c r="AY43"/>
      <c r="AZ43"/>
      <c r="BA43"/>
      <c r="BB43"/>
      <c r="BC43"/>
      <c r="BD43"/>
    </row>
    <row r="44" spans="1:56" ht="17.45" customHeight="1" thickBot="1">
      <c r="A44" s="348"/>
      <c r="B44" s="867" t="str">
        <f t="shared" si="14"/>
        <v/>
      </c>
      <c r="C44" s="868"/>
      <c r="D44" s="868"/>
      <c r="E44" s="868"/>
      <c r="F44" s="868"/>
      <c r="G44" s="868"/>
      <c r="H44" s="868"/>
      <c r="I44" s="868"/>
      <c r="J44" s="868"/>
      <c r="K44" s="868"/>
      <c r="L44" s="868"/>
      <c r="M44" s="868"/>
      <c r="N44" s="868"/>
      <c r="O44" s="869"/>
      <c r="P44" s="797"/>
      <c r="Q44" s="798"/>
      <c r="R44" s="691"/>
      <c r="S44" s="691"/>
      <c r="T44" s="824" t="s">
        <v>345</v>
      </c>
      <c r="U44" s="825"/>
      <c r="V44" s="825"/>
      <c r="W44" s="825"/>
      <c r="X44" s="825"/>
      <c r="Y44" s="825"/>
      <c r="Z44" s="825"/>
      <c r="AA44" s="826"/>
      <c r="AB44" s="796"/>
      <c r="AC44" s="873" t="s">
        <v>344</v>
      </c>
      <c r="AD44" s="873"/>
      <c r="AE44" s="873"/>
      <c r="AF44" s="691"/>
      <c r="AG44" s="128"/>
      <c r="AH44" s="301" t="str">
        <f t="shared" si="15"/>
        <v/>
      </c>
      <c r="AI44" s="263">
        <f t="shared" si="13"/>
        <v>0</v>
      </c>
      <c r="AL44" s="1"/>
      <c r="AM44" s="651"/>
      <c r="AN44" s="652"/>
      <c r="AO44" s="1"/>
      <c r="AP44" s="629"/>
      <c r="AQ44" s="630"/>
      <c r="AR44" s="365"/>
      <c r="AS44" s="1"/>
      <c r="AT44" s="3">
        <f>IF(AP44="",0,IF(AR44="y",1,0))</f>
        <v>0</v>
      </c>
      <c r="AV44"/>
      <c r="AW44" s="3" t="str">
        <f>Tables!DJ332</f>
        <v>Tables!$DE$2</v>
      </c>
      <c r="AX44"/>
      <c r="AY44"/>
      <c r="AZ44"/>
      <c r="BA44"/>
      <c r="BB44"/>
      <c r="BC44"/>
      <c r="BD44"/>
    </row>
    <row r="45" spans="1:56" ht="15.95" customHeight="1" thickBot="1">
      <c r="A45" s="348"/>
      <c r="B45" s="867" t="str">
        <f t="shared" si="14"/>
        <v/>
      </c>
      <c r="C45" s="868"/>
      <c r="D45" s="868"/>
      <c r="E45" s="868"/>
      <c r="F45" s="868"/>
      <c r="G45" s="868"/>
      <c r="H45" s="868"/>
      <c r="I45" s="868"/>
      <c r="J45" s="868"/>
      <c r="K45" s="868"/>
      <c r="L45" s="868"/>
      <c r="M45" s="868"/>
      <c r="N45" s="868"/>
      <c r="O45" s="869"/>
      <c r="P45" s="797"/>
      <c r="Q45" s="798"/>
      <c r="R45" s="691"/>
      <c r="S45" s="665"/>
      <c r="T45" s="791" t="s">
        <v>345</v>
      </c>
      <c r="U45" s="792"/>
      <c r="V45" s="792"/>
      <c r="W45" s="792"/>
      <c r="X45" s="792"/>
      <c r="Y45" s="792"/>
      <c r="Z45" s="792"/>
      <c r="AA45" s="793"/>
      <c r="AB45" s="792"/>
      <c r="AC45" s="794" t="s">
        <v>344</v>
      </c>
      <c r="AD45" s="795"/>
      <c r="AE45" s="795"/>
      <c r="AF45" s="348"/>
      <c r="AG45" s="128"/>
      <c r="AH45" s="301" t="str">
        <f t="shared" si="15"/>
        <v/>
      </c>
      <c r="AI45" s="263">
        <f t="shared" si="13"/>
        <v>0</v>
      </c>
      <c r="AL45" s="1"/>
      <c r="AM45" s="660"/>
      <c r="AN45" s="661"/>
      <c r="AO45" s="1"/>
      <c r="AP45" s="633"/>
      <c r="AQ45" s="634"/>
      <c r="AR45" s="367"/>
      <c r="AS45" s="1"/>
      <c r="AT45" s="3">
        <f>IF(AP45="",0,IF(AR45="y",1,0))</f>
        <v>0</v>
      </c>
      <c r="AV45"/>
      <c r="AW45" s="3" t="str">
        <f>Tables!DL332</f>
        <v>Tables!$DE$2</v>
      </c>
      <c r="AX45"/>
      <c r="AY45"/>
      <c r="AZ45"/>
      <c r="BA45"/>
      <c r="BB45"/>
      <c r="BC45"/>
      <c r="BD45"/>
    </row>
    <row r="46" spans="1:56" ht="14.1" customHeight="1">
      <c r="A46" s="348"/>
      <c r="B46" s="867" t="str">
        <f t="shared" si="14"/>
        <v/>
      </c>
      <c r="C46" s="868"/>
      <c r="D46" s="868"/>
      <c r="E46" s="868"/>
      <c r="F46" s="868"/>
      <c r="G46" s="868"/>
      <c r="H46" s="868"/>
      <c r="I46" s="868"/>
      <c r="J46" s="868"/>
      <c r="K46" s="868"/>
      <c r="L46" s="868"/>
      <c r="M46" s="868"/>
      <c r="N46" s="868"/>
      <c r="O46" s="869"/>
      <c r="P46" s="812"/>
      <c r="Q46" s="813"/>
      <c r="R46" s="348"/>
      <c r="S46" s="340"/>
      <c r="T46" s="791" t="s">
        <v>346</v>
      </c>
      <c r="U46" s="832"/>
      <c r="V46" s="832"/>
      <c r="W46" s="832"/>
      <c r="X46" s="832"/>
      <c r="Y46" s="832"/>
      <c r="Z46" s="832"/>
      <c r="AA46" s="833"/>
      <c r="AB46" s="792"/>
      <c r="AC46" s="794" t="s">
        <v>344</v>
      </c>
      <c r="AD46" s="795"/>
      <c r="AE46" s="795"/>
      <c r="AF46" s="348"/>
      <c r="AG46" s="866"/>
      <c r="AH46" s="819" t="str">
        <f t="shared" si="15"/>
        <v/>
      </c>
      <c r="AI46" s="645">
        <f t="shared" si="13"/>
        <v>0</v>
      </c>
      <c r="AL46" s="1"/>
      <c r="AM46" s="1"/>
      <c r="AN46" s="1"/>
      <c r="AO46" s="1"/>
      <c r="AP46" s="1"/>
      <c r="AQ46" s="1"/>
      <c r="AR46" s="1"/>
      <c r="AS46" s="1"/>
      <c r="AV46"/>
      <c r="AX46"/>
      <c r="AY46"/>
      <c r="AZ46"/>
      <c r="BA46"/>
      <c r="BB46"/>
      <c r="BC46"/>
    </row>
    <row r="47" spans="1:56" ht="2.4500000000000002" customHeight="1" thickBot="1">
      <c r="A47" s="348"/>
      <c r="B47" s="867" t="str">
        <f t="shared" si="14"/>
        <v/>
      </c>
      <c r="C47" s="868"/>
      <c r="D47" s="868"/>
      <c r="E47" s="868"/>
      <c r="F47" s="868"/>
      <c r="G47" s="868"/>
      <c r="H47" s="868"/>
      <c r="I47" s="868"/>
      <c r="J47" s="868"/>
      <c r="K47" s="868"/>
      <c r="L47" s="868"/>
      <c r="M47" s="868"/>
      <c r="N47" s="868"/>
      <c r="O47" s="869"/>
      <c r="P47" s="830"/>
      <c r="Q47" s="831"/>
      <c r="R47" s="348"/>
      <c r="S47" s="340"/>
      <c r="T47" s="810"/>
      <c r="U47" s="810"/>
      <c r="V47" s="810"/>
      <c r="W47" s="810"/>
      <c r="X47" s="810"/>
      <c r="Y47" s="810"/>
      <c r="Z47" s="810"/>
      <c r="AA47" s="810"/>
      <c r="AB47" s="353"/>
      <c r="AC47" s="811"/>
      <c r="AD47" s="811"/>
      <c r="AE47" s="811"/>
      <c r="AF47" s="348"/>
      <c r="AG47" s="866"/>
      <c r="AH47" s="820"/>
      <c r="AI47" s="646"/>
      <c r="AL47" s="1"/>
      <c r="AM47" s="1"/>
      <c r="AN47" s="1"/>
      <c r="AO47" s="1"/>
      <c r="AP47" s="1"/>
      <c r="AQ47" s="1"/>
      <c r="AR47" s="1"/>
      <c r="AS47" s="1"/>
      <c r="AV47"/>
      <c r="AW47"/>
      <c r="AX47"/>
      <c r="AY47"/>
      <c r="AZ47"/>
      <c r="BA47"/>
      <c r="BB47"/>
      <c r="BC47"/>
    </row>
    <row r="48" spans="1:56" ht="15.95" customHeight="1" thickTop="1" thickBot="1">
      <c r="A48" s="348"/>
      <c r="B48" s="867" t="str">
        <f>BJ12</f>
        <v/>
      </c>
      <c r="C48" s="868"/>
      <c r="D48" s="868"/>
      <c r="E48" s="868"/>
      <c r="F48" s="868"/>
      <c r="G48" s="868"/>
      <c r="H48" s="868"/>
      <c r="I48" s="868"/>
      <c r="J48" s="868"/>
      <c r="K48" s="868"/>
      <c r="L48" s="868"/>
      <c r="M48" s="868"/>
      <c r="N48" s="868"/>
      <c r="O48" s="869"/>
      <c r="P48" s="812"/>
      <c r="Q48" s="813"/>
      <c r="R48" s="348"/>
      <c r="S48" s="340"/>
      <c r="T48" s="814" t="s">
        <v>617</v>
      </c>
      <c r="U48" s="815"/>
      <c r="V48" s="815"/>
      <c r="W48" s="815"/>
      <c r="X48" s="815"/>
      <c r="Y48" s="816"/>
      <c r="Z48" s="817">
        <f>currentdestiny+AP3+ROUNDDOWN(AN9/50,0)-AQ3-COUNTA(AM39:AM45)+SUM(AT39:AT45)</f>
        <v>2</v>
      </c>
      <c r="AA48" s="818"/>
      <c r="AB48" s="348"/>
      <c r="AC48" s="827" t="s">
        <v>89</v>
      </c>
      <c r="AD48" s="828"/>
      <c r="AE48" s="829"/>
      <c r="AF48" s="348"/>
      <c r="AG48" s="128"/>
      <c r="AH48" s="301" t="str">
        <f>IF(B48="","",VLOOKUP(B48,allqualities,4,FALSE))</f>
        <v/>
      </c>
      <c r="AI48" s="263">
        <f t="shared" si="13"/>
        <v>0</v>
      </c>
      <c r="AL48" s="1"/>
      <c r="AM48" s="1"/>
      <c r="AN48" s="1"/>
      <c r="AO48" s="1"/>
      <c r="AP48" s="1"/>
      <c r="AQ48" s="1"/>
      <c r="AR48" s="1"/>
      <c r="AS48" s="1"/>
      <c r="AV48"/>
      <c r="AW48"/>
      <c r="AX48"/>
      <c r="AY48"/>
      <c r="AZ48"/>
      <c r="BA48"/>
      <c r="BB48"/>
      <c r="BC48"/>
    </row>
    <row r="49" spans="1:56" ht="18" customHeight="1" thickBot="1">
      <c r="A49" s="344"/>
      <c r="B49" s="863" t="str">
        <f>BJ13</f>
        <v/>
      </c>
      <c r="C49" s="864"/>
      <c r="D49" s="864"/>
      <c r="E49" s="864"/>
      <c r="F49" s="864"/>
      <c r="G49" s="864"/>
      <c r="H49" s="864"/>
      <c r="I49" s="864"/>
      <c r="J49" s="864"/>
      <c r="K49" s="864"/>
      <c r="L49" s="864"/>
      <c r="M49" s="864"/>
      <c r="N49" s="864"/>
      <c r="O49" s="865"/>
      <c r="P49" s="802"/>
      <c r="Q49" s="803"/>
      <c r="R49" s="340"/>
      <c r="S49" s="340"/>
      <c r="T49" s="804" t="s">
        <v>322</v>
      </c>
      <c r="U49" s="805"/>
      <c r="V49" s="805"/>
      <c r="W49" s="805"/>
      <c r="X49" s="805"/>
      <c r="Y49" s="805"/>
      <c r="Z49" s="805"/>
      <c r="AA49" s="805"/>
      <c r="AB49" s="344"/>
      <c r="AC49" s="806" t="s">
        <v>90</v>
      </c>
      <c r="AD49" s="806"/>
      <c r="AE49" s="807"/>
      <c r="AF49" s="344"/>
      <c r="AG49" s="128"/>
      <c r="AH49" s="303" t="str">
        <f>IF(B49="","",VLOOKUP(B49,allqualities,4,FALSE))</f>
        <v/>
      </c>
      <c r="AI49" s="264">
        <f t="shared" si="13"/>
        <v>0</v>
      </c>
      <c r="AL49" s="1"/>
      <c r="AM49" s="1"/>
      <c r="AN49" s="1"/>
      <c r="AO49" s="1"/>
      <c r="AP49" s="1"/>
      <c r="AQ49" s="1"/>
      <c r="AR49" s="1"/>
      <c r="AS49" s="1"/>
      <c r="AV49"/>
      <c r="AW49"/>
      <c r="AX49"/>
      <c r="AY49"/>
      <c r="AZ49"/>
      <c r="BA49"/>
      <c r="BB49"/>
      <c r="BC49"/>
    </row>
    <row r="50" spans="1:56" ht="17.45" customHeight="1" thickTop="1" thickBot="1">
      <c r="A50" s="344"/>
      <c r="B50" s="838" t="s">
        <v>619</v>
      </c>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40"/>
      <c r="AB50" s="344"/>
      <c r="AC50" s="841" t="s">
        <v>618</v>
      </c>
      <c r="AD50" s="842"/>
      <c r="AE50" s="842"/>
      <c r="AF50" s="665"/>
      <c r="AL50" s="1"/>
      <c r="AM50" s="1"/>
      <c r="AN50" s="1"/>
      <c r="AO50" s="1"/>
      <c r="AP50" s="1"/>
      <c r="AQ50" s="1"/>
      <c r="AR50" s="1"/>
      <c r="AS50" s="1"/>
      <c r="AV50"/>
      <c r="AW50"/>
      <c r="AX50"/>
      <c r="AY50"/>
      <c r="AZ50"/>
      <c r="BA50"/>
      <c r="BB50"/>
      <c r="BC50"/>
    </row>
    <row r="51" spans="1:56" ht="13.5" customHeight="1" thickBot="1">
      <c r="A51" s="344"/>
      <c r="B51" s="884" t="s">
        <v>432</v>
      </c>
      <c r="C51" s="884"/>
      <c r="D51" s="884"/>
      <c r="E51" s="884"/>
      <c r="F51" s="884"/>
      <c r="G51" s="884"/>
      <c r="H51" s="884"/>
      <c r="I51" s="884" t="s">
        <v>414</v>
      </c>
      <c r="J51" s="885"/>
      <c r="K51" s="885"/>
      <c r="L51" s="885"/>
      <c r="M51" s="885"/>
      <c r="N51" s="884" t="s">
        <v>408</v>
      </c>
      <c r="O51" s="884"/>
      <c r="P51" s="886" t="s">
        <v>431</v>
      </c>
      <c r="Q51" s="887"/>
      <c r="R51" s="887"/>
      <c r="S51" s="887"/>
      <c r="T51" s="887"/>
      <c r="U51" s="887"/>
      <c r="V51" s="887"/>
      <c r="W51" s="888"/>
      <c r="X51" s="886" t="s">
        <v>433</v>
      </c>
      <c r="Y51" s="889"/>
      <c r="Z51" s="884" t="s">
        <v>731</v>
      </c>
      <c r="AA51" s="890"/>
      <c r="AB51" s="344"/>
      <c r="AC51" s="891" t="s">
        <v>735</v>
      </c>
      <c r="AD51" s="892"/>
      <c r="AE51" s="892"/>
      <c r="AF51" s="665"/>
      <c r="AG51" s="420">
        <f>IF(armour="",0,VLOOKUP(armour,armourtable,2,FALSE))</f>
        <v>1</v>
      </c>
      <c r="AL51" s="1"/>
      <c r="AM51" s="1"/>
      <c r="AN51" s="1"/>
      <c r="AO51" s="1"/>
      <c r="AP51" s="1"/>
      <c r="AQ51" s="1"/>
      <c r="AR51" s="1"/>
      <c r="AS51" s="1"/>
      <c r="AV51"/>
      <c r="AW51"/>
      <c r="AX51"/>
      <c r="AY51"/>
      <c r="AZ51"/>
      <c r="BA51"/>
      <c r="BB51"/>
      <c r="BC51"/>
    </row>
    <row r="52" spans="1:56" ht="15" customHeight="1" thickBot="1">
      <c r="A52" s="344"/>
      <c r="B52" s="848" t="s">
        <v>394</v>
      </c>
      <c r="C52" s="849"/>
      <c r="D52" s="849"/>
      <c r="E52" s="849"/>
      <c r="F52" s="849"/>
      <c r="G52" s="849"/>
      <c r="H52" s="849"/>
      <c r="I52" s="843"/>
      <c r="J52" s="844"/>
      <c r="K52" s="844"/>
      <c r="L52" s="844"/>
      <c r="M52" s="845"/>
      <c r="N52" s="846" t="str">
        <f t="shared" ref="N52:N58" ca="1" si="16">IF(OR(B52="",B52="None"),"",MAX(0,VLOOKUP(B52,weapontable,6,FALSE)+IF(I52="",0,VLOOKUP(I52,qualitylookup,2,FALSE)))&amp;"D"&amp;VLOOKUP(B52,weapontable,7,FALSE)&amp;IF(VLOOKUP(B52,weapontable,8,FALSE)+IF(I52="",0,VLOOKUP(I52,qualitylookup,3,FALSE))=0,"","+"&amp;VLOOKUP(B52,weapontable,8,FALSE)+IF(I52="",0,VLOOKUP(I52,qualitylookup,3,FALSE))))</f>
        <v>4D</v>
      </c>
      <c r="O52" s="847"/>
      <c r="P52" s="834" t="str">
        <f>IF(B52="","",VLOOKUP(B52,weapontable,26,FALSE))</f>
        <v>LR, 2h</v>
      </c>
      <c r="Q52" s="835"/>
      <c r="R52" s="835"/>
      <c r="S52" s="835"/>
      <c r="T52" s="835"/>
      <c r="U52" s="835"/>
      <c r="V52" s="835"/>
      <c r="W52" s="836"/>
      <c r="X52" s="860" t="str">
        <f t="shared" ref="X52:X58" ca="1" si="17">IF(OR(B52="",B52="None"),"",VLOOKUP(B52,weapontable,23,FALSE)+IF(I52="",0,VLOOKUP(I52,qualitylookup,4,FALSE))&amp;IF(VLOOKUP(B52,weapontable,24,FALSE)=0,"","+"&amp;VLOOKUP(B52,weapontable,24,FALSE)))</f>
        <v>4</v>
      </c>
      <c r="Y52" s="861"/>
      <c r="Z52" s="850">
        <f t="shared" ref="Z52:Z58" si="18">IF(B52="","",VLOOKUP(B52,weapontable,9,FALSE))</f>
        <v>0</v>
      </c>
      <c r="AA52" s="851"/>
      <c r="AB52" s="344"/>
      <c r="AC52" s="862" t="s">
        <v>812</v>
      </c>
      <c r="AD52" s="862"/>
      <c r="AE52" s="417">
        <f>IF(AG51&gt;0,AG51+armourbonus2,0)</f>
        <v>1</v>
      </c>
      <c r="AF52" s="665"/>
      <c r="AL52" s="1"/>
      <c r="AM52" s="1"/>
      <c r="AN52" s="1"/>
      <c r="AO52" s="1"/>
      <c r="AP52" s="1"/>
      <c r="AQ52" s="1"/>
      <c r="AR52" s="1"/>
      <c r="AS52" s="1"/>
      <c r="AV52"/>
      <c r="AW52"/>
      <c r="AX52"/>
      <c r="AY52"/>
      <c r="AZ52"/>
      <c r="BA52"/>
      <c r="BB52"/>
      <c r="BC52"/>
    </row>
    <row r="53" spans="1:56" ht="15" customHeight="1" thickBot="1">
      <c r="A53" s="344"/>
      <c r="B53" s="848" t="s">
        <v>388</v>
      </c>
      <c r="C53" s="849"/>
      <c r="D53" s="849"/>
      <c r="E53" s="849"/>
      <c r="F53" s="849"/>
      <c r="G53" s="849"/>
      <c r="H53" s="849"/>
      <c r="I53" s="843"/>
      <c r="J53" s="844"/>
      <c r="K53" s="844"/>
      <c r="L53" s="844"/>
      <c r="M53" s="845"/>
      <c r="N53" s="846" t="str">
        <f t="shared" ca="1" si="16"/>
        <v>3D+1B</v>
      </c>
      <c r="O53" s="847"/>
      <c r="P53" s="834" t="str">
        <f t="shared" ref="P53:P58" si="19">IF(B53="","",VLOOKUP(B53,weapontable,26,FALSE))</f>
        <v>Fast</v>
      </c>
      <c r="Q53" s="835"/>
      <c r="R53" s="835"/>
      <c r="S53" s="835"/>
      <c r="T53" s="835"/>
      <c r="U53" s="835"/>
      <c r="V53" s="835"/>
      <c r="W53" s="836"/>
      <c r="X53" s="860" t="str">
        <f t="shared" ca="1" si="17"/>
        <v>4</v>
      </c>
      <c r="Y53" s="861"/>
      <c r="Z53" s="850">
        <f t="shared" si="18"/>
        <v>0</v>
      </c>
      <c r="AA53" s="851"/>
      <c r="AB53" s="344"/>
      <c r="AC53" s="837" t="s">
        <v>813</v>
      </c>
      <c r="AD53" s="837"/>
      <c r="AE53" s="419">
        <f>IF(armour="",0,VLOOKUP(armour,armourtable,3,FALSE))</f>
        <v>0</v>
      </c>
      <c r="AF53" s="665"/>
      <c r="AL53" s="1"/>
      <c r="AM53" s="1"/>
      <c r="AN53" s="1"/>
      <c r="AO53" s="1"/>
      <c r="AP53" s="1"/>
      <c r="AQ53" s="1"/>
      <c r="AR53" s="1"/>
      <c r="AS53" s="1"/>
      <c r="AV53"/>
      <c r="AW53"/>
      <c r="AX53"/>
      <c r="AY53"/>
      <c r="AZ53"/>
      <c r="BA53"/>
      <c r="BB53"/>
      <c r="BC53"/>
    </row>
    <row r="54" spans="1:56" ht="15" customHeight="1" thickBot="1">
      <c r="A54" s="344"/>
      <c r="B54" s="848" t="s">
        <v>382</v>
      </c>
      <c r="C54" s="849"/>
      <c r="D54" s="849"/>
      <c r="E54" s="849"/>
      <c r="F54" s="849"/>
      <c r="G54" s="849"/>
      <c r="H54" s="849"/>
      <c r="I54" s="843"/>
      <c r="J54" s="844"/>
      <c r="K54" s="844"/>
      <c r="L54" s="844"/>
      <c r="M54" s="845"/>
      <c r="N54" s="846" t="str">
        <f ca="1">IF(OR(B54="",B54="None"),"",MAX(0,VLOOKUP(B54,weapontable,6,FALSE)+IF(I54="",0,VLOOKUP(I54,qualitylookup,2,FALSE)))&amp;"D"&amp;VLOOKUP(B54,weapontable,7,FALSE)&amp;IF(VLOOKUP(B54,weapontable,8,FALSE)+IF(I54="",0,VLOOKUP(I54,qualitylookup,3,FALSE))=0,"","+"&amp;VLOOKUP(B54,weapontable,8,FALSE)+IF(I54="",0,VLOOKUP(I54,qualitylookup,3,FALSE))))</f>
        <v>3D</v>
      </c>
      <c r="O54" s="847"/>
      <c r="P54" s="834" t="str">
        <f>IF(B54="","",VLOOKUP(B54,weapontable,26,FALSE))</f>
        <v>Def+1, Off-hand+1</v>
      </c>
      <c r="Q54" s="835"/>
      <c r="R54" s="835"/>
      <c r="S54" s="835"/>
      <c r="T54" s="835"/>
      <c r="U54" s="835"/>
      <c r="V54" s="835"/>
      <c r="W54" s="836"/>
      <c r="X54" s="860" t="str">
        <f ca="1">IF(OR(B54="",B54="None"),"",VLOOKUP(B54,weapontable,23,FALSE)+IF(I54="",0,VLOOKUP(I54,qualitylookup,4,FALSE))&amp;IF(VLOOKUP(B54,weapontable,24,FALSE)=0,"","+"&amp;VLOOKUP(B54,weapontable,24,FALSE)))</f>
        <v>2</v>
      </c>
      <c r="Y54" s="861"/>
      <c r="Z54" s="850">
        <f>IF(B54="","",VLOOKUP(B54,weapontable,9,FALSE))</f>
        <v>0</v>
      </c>
      <c r="AA54" s="851"/>
      <c r="AB54" s="344"/>
      <c r="AC54" s="874" t="s">
        <v>731</v>
      </c>
      <c r="AD54" s="874"/>
      <c r="AE54" s="418">
        <f>bulk2</f>
        <v>0</v>
      </c>
      <c r="AF54" s="348"/>
      <c r="AL54" s="1"/>
      <c r="AM54" s="1"/>
      <c r="AN54" s="1"/>
      <c r="AO54" s="1"/>
      <c r="AP54" s="1"/>
      <c r="AQ54" s="1"/>
      <c r="AR54" s="1"/>
      <c r="AS54" s="1"/>
      <c r="AV54"/>
      <c r="AW54"/>
      <c r="AX54"/>
      <c r="AY54"/>
      <c r="AZ54"/>
      <c r="BA54"/>
      <c r="BB54"/>
      <c r="BC54"/>
    </row>
    <row r="55" spans="1:56" ht="15" customHeight="1" thickBot="1">
      <c r="A55" s="344"/>
      <c r="B55" s="848"/>
      <c r="C55" s="849"/>
      <c r="D55" s="849"/>
      <c r="E55" s="849"/>
      <c r="F55" s="849"/>
      <c r="G55" s="849"/>
      <c r="H55" s="849"/>
      <c r="I55" s="843"/>
      <c r="J55" s="844"/>
      <c r="K55" s="844"/>
      <c r="L55" s="844"/>
      <c r="M55" s="845"/>
      <c r="N55" s="856" t="str">
        <f t="shared" si="16"/>
        <v/>
      </c>
      <c r="O55" s="857"/>
      <c r="P55" s="858" t="str">
        <f t="shared" si="19"/>
        <v/>
      </c>
      <c r="Q55" s="859"/>
      <c r="R55" s="859"/>
      <c r="S55" s="859"/>
      <c r="T55" s="859"/>
      <c r="U55" s="859"/>
      <c r="V55" s="859"/>
      <c r="W55" s="859"/>
      <c r="X55" s="854" t="str">
        <f t="shared" si="17"/>
        <v/>
      </c>
      <c r="Y55" s="855"/>
      <c r="Z55" s="850" t="str">
        <f t="shared" si="18"/>
        <v/>
      </c>
      <c r="AA55" s="851"/>
      <c r="AB55" s="344"/>
      <c r="AC55" s="852" t="s">
        <v>235</v>
      </c>
      <c r="AD55" s="853"/>
      <c r="AE55" s="853"/>
      <c r="AF55" s="665"/>
      <c r="AG55" s="162">
        <f>IF(armour="",0,MAX(0,bulkbonus2+VLOOKUP(armour,armourtable,4,FALSE)))</f>
        <v>0</v>
      </c>
      <c r="AL55" s="1"/>
      <c r="AM55" s="1"/>
      <c r="AN55" s="1"/>
      <c r="AO55" s="1"/>
      <c r="AP55" s="1"/>
      <c r="AQ55" s="1"/>
      <c r="AR55" s="1"/>
      <c r="AS55" s="1"/>
      <c r="AV55"/>
      <c r="AW55"/>
      <c r="AX55"/>
      <c r="AY55"/>
      <c r="AZ55"/>
      <c r="BA55"/>
      <c r="BB55"/>
      <c r="BC55"/>
    </row>
    <row r="56" spans="1:56" ht="15" customHeight="1" thickBot="1">
      <c r="A56" s="344"/>
      <c r="B56" s="848"/>
      <c r="C56" s="849"/>
      <c r="D56" s="849"/>
      <c r="E56" s="849"/>
      <c r="F56" s="849"/>
      <c r="G56" s="849"/>
      <c r="H56" s="849"/>
      <c r="I56" s="843"/>
      <c r="J56" s="844"/>
      <c r="K56" s="844"/>
      <c r="L56" s="844"/>
      <c r="M56" s="845"/>
      <c r="N56" s="846" t="str">
        <f t="shared" si="16"/>
        <v/>
      </c>
      <c r="O56" s="847"/>
      <c r="P56" s="858" t="str">
        <f t="shared" si="19"/>
        <v/>
      </c>
      <c r="Q56" s="859"/>
      <c r="R56" s="859"/>
      <c r="S56" s="859"/>
      <c r="T56" s="859"/>
      <c r="U56" s="859"/>
      <c r="V56" s="859"/>
      <c r="W56" s="859"/>
      <c r="X56" s="854" t="str">
        <f t="shared" si="17"/>
        <v/>
      </c>
      <c r="Y56" s="855"/>
      <c r="Z56" s="850" t="str">
        <f t="shared" si="18"/>
        <v/>
      </c>
      <c r="AA56" s="851"/>
      <c r="AB56" s="344"/>
      <c r="AC56" s="411">
        <f ca="1">IF(B12=1, IF(SUMIF($N$12:$Q$14,"Run",L$12:$M$14)=0,3,4),4+ROUNDDOWN(SUMIF($N$12:$Q$14,"Run",$L$12:$M$14)/2,0))+movebonus</f>
        <v>4</v>
      </c>
      <c r="AD56" s="409" t="s">
        <v>237</v>
      </c>
      <c r="AE56" s="413">
        <f ca="1">AC56*(sprintbonus2+4)</f>
        <v>16</v>
      </c>
      <c r="AF56" s="665"/>
      <c r="AL56" s="1"/>
      <c r="AM56" s="1"/>
      <c r="AN56" s="1"/>
      <c r="AO56" s="1"/>
      <c r="AP56" s="1"/>
      <c r="AQ56" s="1"/>
      <c r="AR56" s="1"/>
      <c r="AS56" s="1"/>
      <c r="AT56" s="8"/>
      <c r="AU56" s="8"/>
      <c r="AV56"/>
      <c r="AW56"/>
      <c r="AX56"/>
      <c r="AY56"/>
      <c r="AZ56"/>
      <c r="BA56"/>
      <c r="BB56"/>
      <c r="BC56"/>
    </row>
    <row r="57" spans="1:56" ht="15" customHeight="1" thickBot="1">
      <c r="A57" s="348"/>
      <c r="B57" s="848"/>
      <c r="C57" s="849"/>
      <c r="D57" s="849"/>
      <c r="E57" s="849"/>
      <c r="F57" s="849"/>
      <c r="G57" s="849"/>
      <c r="H57" s="849"/>
      <c r="I57" s="843"/>
      <c r="J57" s="844"/>
      <c r="K57" s="844"/>
      <c r="L57" s="844"/>
      <c r="M57" s="845"/>
      <c r="N57" s="846" t="str">
        <f t="shared" si="16"/>
        <v/>
      </c>
      <c r="O57" s="847"/>
      <c r="P57" s="858" t="str">
        <f t="shared" si="19"/>
        <v/>
      </c>
      <c r="Q57" s="859"/>
      <c r="R57" s="859"/>
      <c r="S57" s="859"/>
      <c r="T57" s="859"/>
      <c r="U57" s="859"/>
      <c r="V57" s="859"/>
      <c r="W57" s="859"/>
      <c r="X57" s="854" t="str">
        <f t="shared" si="17"/>
        <v/>
      </c>
      <c r="Y57" s="855"/>
      <c r="Z57" s="850" t="str">
        <f t="shared" si="18"/>
        <v/>
      </c>
      <c r="AA57" s="851"/>
      <c r="AB57" s="348"/>
      <c r="AC57" s="412">
        <f ca="1">MAX(1,AC56-ROUNDDOWN(bulk2/2,0))</f>
        <v>4</v>
      </c>
      <c r="AD57" s="410" t="s">
        <v>238</v>
      </c>
      <c r="AE57" s="422">
        <f ca="1">MAX(AC57,4,AC57*(sprintbonus2+4)-bulk2)</f>
        <v>16</v>
      </c>
      <c r="AF57" s="340"/>
      <c r="AL57" s="1"/>
      <c r="AM57" s="1"/>
      <c r="AN57" s="1"/>
      <c r="AO57" s="1"/>
      <c r="AP57" s="1"/>
      <c r="AQ57" s="1"/>
      <c r="AR57" s="1"/>
      <c r="AS57" s="1"/>
      <c r="AV57"/>
      <c r="AW57"/>
      <c r="AX57"/>
      <c r="AY57"/>
      <c r="AZ57"/>
      <c r="BA57"/>
      <c r="BB57"/>
      <c r="BC57"/>
    </row>
    <row r="58" spans="1:56" ht="15" customHeight="1" thickBot="1">
      <c r="A58" s="344"/>
      <c r="B58" s="848"/>
      <c r="C58" s="849"/>
      <c r="D58" s="849"/>
      <c r="E58" s="849"/>
      <c r="F58" s="849"/>
      <c r="G58" s="849"/>
      <c r="H58" s="849"/>
      <c r="I58" s="843"/>
      <c r="J58" s="844"/>
      <c r="K58" s="844"/>
      <c r="L58" s="844"/>
      <c r="M58" s="845"/>
      <c r="N58" s="846" t="str">
        <f t="shared" si="16"/>
        <v/>
      </c>
      <c r="O58" s="847"/>
      <c r="P58" s="858" t="str">
        <f t="shared" si="19"/>
        <v/>
      </c>
      <c r="Q58" s="859"/>
      <c r="R58" s="859"/>
      <c r="S58" s="859"/>
      <c r="T58" s="859"/>
      <c r="U58" s="859"/>
      <c r="V58" s="859"/>
      <c r="W58" s="859"/>
      <c r="X58" s="854" t="str">
        <f t="shared" si="17"/>
        <v/>
      </c>
      <c r="Y58" s="855"/>
      <c r="Z58" s="850" t="str">
        <f t="shared" si="18"/>
        <v/>
      </c>
      <c r="AA58" s="851"/>
      <c r="AB58" s="414"/>
      <c r="AC58" s="415">
        <f ca="1">MAX(1,AC56-ROUNDDOWN((bulk2+SUM($Z$52:$Z$58))/2,0))</f>
        <v>4</v>
      </c>
      <c r="AD58" s="416" t="s">
        <v>236</v>
      </c>
      <c r="AE58" s="421">
        <f ca="1">MAX(AC58,4,AC58*(sprintbonus2+4)-bulk2-SUM($Z$52:$Z$58))</f>
        <v>16</v>
      </c>
      <c r="AF58" s="344"/>
      <c r="AL58" s="1"/>
      <c r="AM58" s="1"/>
      <c r="AN58" s="1"/>
      <c r="AO58" s="1"/>
      <c r="AP58" s="1"/>
      <c r="AQ58" s="1"/>
      <c r="AR58" s="1"/>
      <c r="AS58" s="1"/>
      <c r="AV58"/>
      <c r="AW58"/>
      <c r="AX58"/>
      <c r="AY58"/>
      <c r="AZ58"/>
      <c r="BA58"/>
      <c r="BB58"/>
      <c r="BC58"/>
      <c r="BD58"/>
    </row>
    <row r="59" spans="1:56" ht="2.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V59"/>
      <c r="AW59"/>
      <c r="AX59"/>
      <c r="AY59"/>
      <c r="AZ59"/>
      <c r="BA59"/>
      <c r="BB59"/>
      <c r="BC59"/>
      <c r="BD59"/>
    </row>
    <row r="60" spans="1:56" hidden="1">
      <c r="B60"/>
      <c r="C60"/>
      <c r="D60"/>
      <c r="E60"/>
      <c r="G60" s="7"/>
      <c r="H60" s="7"/>
      <c r="I60" s="7"/>
      <c r="J60" s="7"/>
      <c r="K60" s="7"/>
      <c r="L60" s="7"/>
      <c r="M60" s="7"/>
      <c r="N60" s="7"/>
      <c r="O60" s="7"/>
      <c r="AV60"/>
      <c r="AW60"/>
      <c r="AX60"/>
      <c r="AY60"/>
      <c r="AZ60"/>
      <c r="BA60"/>
      <c r="BB60"/>
      <c r="BC60"/>
      <c r="BD60"/>
    </row>
    <row r="61" spans="1:56" hidden="1">
      <c r="AV61"/>
      <c r="AW61"/>
      <c r="AX61"/>
      <c r="AY61"/>
      <c r="AZ61"/>
      <c r="BA61"/>
      <c r="BB61"/>
      <c r="BC61"/>
    </row>
  </sheetData>
  <mergeCells count="426">
    <mergeCell ref="AC54:AD54"/>
    <mergeCell ref="BI3:BJ3"/>
    <mergeCell ref="S3:U3"/>
    <mergeCell ref="W3:AC3"/>
    <mergeCell ref="B45:O45"/>
    <mergeCell ref="B38:O38"/>
    <mergeCell ref="B39:O40"/>
    <mergeCell ref="B41:O41"/>
    <mergeCell ref="B42:O42"/>
    <mergeCell ref="X54:Y54"/>
    <mergeCell ref="Z54:AA54"/>
    <mergeCell ref="B54:H54"/>
    <mergeCell ref="I54:M54"/>
    <mergeCell ref="N54:O54"/>
    <mergeCell ref="P54:W54"/>
    <mergeCell ref="AF50:AF53"/>
    <mergeCell ref="B51:H51"/>
    <mergeCell ref="I51:M51"/>
    <mergeCell ref="N51:O51"/>
    <mergeCell ref="P51:W51"/>
    <mergeCell ref="X51:Y51"/>
    <mergeCell ref="Z51:AA51"/>
    <mergeCell ref="AC51:AE51"/>
    <mergeCell ref="P52:W52"/>
    <mergeCell ref="AF55:AF56"/>
    <mergeCell ref="X52:Y52"/>
    <mergeCell ref="X53:Y53"/>
    <mergeCell ref="X55:Y55"/>
    <mergeCell ref="AC52:AD52"/>
    <mergeCell ref="B53:H53"/>
    <mergeCell ref="P58:W58"/>
    <mergeCell ref="B49:O49"/>
    <mergeCell ref="AG39:AG40"/>
    <mergeCell ref="P43:Q43"/>
    <mergeCell ref="B48:O48"/>
    <mergeCell ref="X58:Y58"/>
    <mergeCell ref="P56:W56"/>
    <mergeCell ref="B58:H58"/>
    <mergeCell ref="I58:M58"/>
    <mergeCell ref="N58:O58"/>
    <mergeCell ref="B43:O43"/>
    <mergeCell ref="AC43:AE43"/>
    <mergeCell ref="B46:O47"/>
    <mergeCell ref="B44:O44"/>
    <mergeCell ref="AF43:AF44"/>
    <mergeCell ref="AC44:AE44"/>
    <mergeCell ref="AG46:AG47"/>
    <mergeCell ref="Z58:AA58"/>
    <mergeCell ref="B57:H57"/>
    <mergeCell ref="I57:M57"/>
    <mergeCell ref="N57:O57"/>
    <mergeCell ref="AC55:AE55"/>
    <mergeCell ref="X56:Y56"/>
    <mergeCell ref="X57:Y57"/>
    <mergeCell ref="Z57:AA57"/>
    <mergeCell ref="I55:M55"/>
    <mergeCell ref="N55:O55"/>
    <mergeCell ref="P55:W55"/>
    <mergeCell ref="B56:H56"/>
    <mergeCell ref="I56:M56"/>
    <mergeCell ref="N56:O56"/>
    <mergeCell ref="B55:H55"/>
    <mergeCell ref="P57:W57"/>
    <mergeCell ref="Z55:AA55"/>
    <mergeCell ref="Z56:AA56"/>
    <mergeCell ref="P53:W53"/>
    <mergeCell ref="AC53:AD53"/>
    <mergeCell ref="B50:AA50"/>
    <mergeCell ref="AC50:AE50"/>
    <mergeCell ref="I53:M53"/>
    <mergeCell ref="N53:O53"/>
    <mergeCell ref="B52:H52"/>
    <mergeCell ref="I52:M52"/>
    <mergeCell ref="N52:O52"/>
    <mergeCell ref="Z52:AA52"/>
    <mergeCell ref="Z53:AA53"/>
    <mergeCell ref="P49:Q49"/>
    <mergeCell ref="T49:AA49"/>
    <mergeCell ref="AC49:AE49"/>
    <mergeCell ref="AH36:AH37"/>
    <mergeCell ref="AC46:AE46"/>
    <mergeCell ref="T47:AA47"/>
    <mergeCell ref="AC47:AE47"/>
    <mergeCell ref="P48:Q48"/>
    <mergeCell ref="T48:Y48"/>
    <mergeCell ref="Z48:AA48"/>
    <mergeCell ref="AH39:AH40"/>
    <mergeCell ref="AH46:AH47"/>
    <mergeCell ref="R43:S43"/>
    <mergeCell ref="T43:AA43"/>
    <mergeCell ref="P44:Q44"/>
    <mergeCell ref="R44:S44"/>
    <mergeCell ref="T44:AA44"/>
    <mergeCell ref="P42:Q42"/>
    <mergeCell ref="R42:S42"/>
    <mergeCell ref="T42:AA42"/>
    <mergeCell ref="AC48:AE48"/>
    <mergeCell ref="P46:Q47"/>
    <mergeCell ref="T46:AA46"/>
    <mergeCell ref="P45:Q45"/>
    <mergeCell ref="R45:S45"/>
    <mergeCell ref="T45:AA45"/>
    <mergeCell ref="AC45:AE45"/>
    <mergeCell ref="AB44:AB46"/>
    <mergeCell ref="P41:Q41"/>
    <mergeCell ref="R41:S41"/>
    <mergeCell ref="T41:Y41"/>
    <mergeCell ref="P39:Q40"/>
    <mergeCell ref="R39:S40"/>
    <mergeCell ref="T39:AA39"/>
    <mergeCell ref="AC42:AE42"/>
    <mergeCell ref="AF39:AF41"/>
    <mergeCell ref="T40:AA40"/>
    <mergeCell ref="AC40:AE40"/>
    <mergeCell ref="Z41:AA41"/>
    <mergeCell ref="AC41:AD41"/>
    <mergeCell ref="AC39:AE39"/>
    <mergeCell ref="A39:A40"/>
    <mergeCell ref="AC37:AE37"/>
    <mergeCell ref="P38:Q38"/>
    <mergeCell ref="T38:Y38"/>
    <mergeCell ref="Z38:AA38"/>
    <mergeCell ref="AC38:AD38"/>
    <mergeCell ref="D37:O37"/>
    <mergeCell ref="P37:Q37"/>
    <mergeCell ref="R37:S38"/>
    <mergeCell ref="T37:AA37"/>
    <mergeCell ref="B36:O36"/>
    <mergeCell ref="P36:Q36"/>
    <mergeCell ref="R36:S36"/>
    <mergeCell ref="T36:AA36"/>
    <mergeCell ref="AC36:AE36"/>
    <mergeCell ref="L35:M35"/>
    <mergeCell ref="N35:Q35"/>
    <mergeCell ref="R35:S35"/>
    <mergeCell ref="U35:AA35"/>
    <mergeCell ref="A33:A35"/>
    <mergeCell ref="B33:B35"/>
    <mergeCell ref="C33:C35"/>
    <mergeCell ref="D33:J34"/>
    <mergeCell ref="D35:G35"/>
    <mergeCell ref="H35:J35"/>
    <mergeCell ref="AD33:AE33"/>
    <mergeCell ref="L34:M34"/>
    <mergeCell ref="N34:Q34"/>
    <mergeCell ref="R34:S34"/>
    <mergeCell ref="U34:AA34"/>
    <mergeCell ref="AD34:AE34"/>
    <mergeCell ref="L33:M33"/>
    <mergeCell ref="N33:Q33"/>
    <mergeCell ref="R33:S33"/>
    <mergeCell ref="U33:AA33"/>
    <mergeCell ref="AD35:AE35"/>
    <mergeCell ref="W30:AA31"/>
    <mergeCell ref="AD30:AE30"/>
    <mergeCell ref="L31:M31"/>
    <mergeCell ref="N31:Q31"/>
    <mergeCell ref="R31:S31"/>
    <mergeCell ref="AD31:AE31"/>
    <mergeCell ref="R32:S32"/>
    <mergeCell ref="W32:Y32"/>
    <mergeCell ref="Z32:AA32"/>
    <mergeCell ref="AD32:AE32"/>
    <mergeCell ref="L32:M32"/>
    <mergeCell ref="N32:Q32"/>
    <mergeCell ref="A30:A32"/>
    <mergeCell ref="B30:B32"/>
    <mergeCell ref="C30:C32"/>
    <mergeCell ref="D30:J31"/>
    <mergeCell ref="L30:M30"/>
    <mergeCell ref="N30:Q30"/>
    <mergeCell ref="R30:S30"/>
    <mergeCell ref="T30:U32"/>
    <mergeCell ref="V30:V32"/>
    <mergeCell ref="D32:G32"/>
    <mergeCell ref="H32:J32"/>
    <mergeCell ref="A27:A29"/>
    <mergeCell ref="B27:B29"/>
    <mergeCell ref="C27:C29"/>
    <mergeCell ref="D27:J28"/>
    <mergeCell ref="L27:M27"/>
    <mergeCell ref="N27:Q27"/>
    <mergeCell ref="R27:S27"/>
    <mergeCell ref="T27:U29"/>
    <mergeCell ref="AD27:AE27"/>
    <mergeCell ref="L28:M28"/>
    <mergeCell ref="N28:Q28"/>
    <mergeCell ref="R28:S28"/>
    <mergeCell ref="AD28:AE28"/>
    <mergeCell ref="R29:S29"/>
    <mergeCell ref="W29:Y29"/>
    <mergeCell ref="Z29:AA29"/>
    <mergeCell ref="AD29:AE29"/>
    <mergeCell ref="D29:G29"/>
    <mergeCell ref="H29:J29"/>
    <mergeCell ref="L29:M29"/>
    <mergeCell ref="N29:Q29"/>
    <mergeCell ref="V27:V29"/>
    <mergeCell ref="W27:AA28"/>
    <mergeCell ref="V24:V26"/>
    <mergeCell ref="W24:AA25"/>
    <mergeCell ref="AD24:AE24"/>
    <mergeCell ref="L25:M25"/>
    <mergeCell ref="N25:Q25"/>
    <mergeCell ref="R25:S25"/>
    <mergeCell ref="AD25:AE25"/>
    <mergeCell ref="L26:P26"/>
    <mergeCell ref="R26:S26"/>
    <mergeCell ref="W26:Y26"/>
    <mergeCell ref="Z26:AA26"/>
    <mergeCell ref="AD26:AE26"/>
    <mergeCell ref="L24:M24"/>
    <mergeCell ref="N24:Q24"/>
    <mergeCell ref="R24:S24"/>
    <mergeCell ref="T24:U26"/>
    <mergeCell ref="A24:A26"/>
    <mergeCell ref="B24:B26"/>
    <mergeCell ref="C24:C26"/>
    <mergeCell ref="D24:J25"/>
    <mergeCell ref="D26:G26"/>
    <mergeCell ref="H26:J26"/>
    <mergeCell ref="W21:AA22"/>
    <mergeCell ref="AD21:AE21"/>
    <mergeCell ref="L22:M22"/>
    <mergeCell ref="N22:Q22"/>
    <mergeCell ref="R22:S22"/>
    <mergeCell ref="AD22:AE22"/>
    <mergeCell ref="R23:S23"/>
    <mergeCell ref="W23:Y23"/>
    <mergeCell ref="Z23:AA23"/>
    <mergeCell ref="AD23:AE23"/>
    <mergeCell ref="L23:M23"/>
    <mergeCell ref="N23:Q23"/>
    <mergeCell ref="A21:A23"/>
    <mergeCell ref="B21:B23"/>
    <mergeCell ref="C21:C23"/>
    <mergeCell ref="D21:J22"/>
    <mergeCell ref="L21:M21"/>
    <mergeCell ref="N21:Q21"/>
    <mergeCell ref="R21:S21"/>
    <mergeCell ref="T21:U23"/>
    <mergeCell ref="V21:V23"/>
    <mergeCell ref="D23:G23"/>
    <mergeCell ref="H23:J23"/>
    <mergeCell ref="A18:A20"/>
    <mergeCell ref="B18:B20"/>
    <mergeCell ref="C18:C20"/>
    <mergeCell ref="D18:J19"/>
    <mergeCell ref="L18:M18"/>
    <mergeCell ref="N18:Q18"/>
    <mergeCell ref="R18:S18"/>
    <mergeCell ref="T18:U20"/>
    <mergeCell ref="D20:G20"/>
    <mergeCell ref="H20:J20"/>
    <mergeCell ref="AD18:AE18"/>
    <mergeCell ref="L19:M19"/>
    <mergeCell ref="N19:Q19"/>
    <mergeCell ref="R19:S19"/>
    <mergeCell ref="AD19:AE19"/>
    <mergeCell ref="R20:S20"/>
    <mergeCell ref="W20:Y20"/>
    <mergeCell ref="Z20:AA20"/>
    <mergeCell ref="AC20:AD20"/>
    <mergeCell ref="L20:M20"/>
    <mergeCell ref="N20:Q20"/>
    <mergeCell ref="V18:V20"/>
    <mergeCell ref="W18:AA19"/>
    <mergeCell ref="V15:V17"/>
    <mergeCell ref="W15:AA16"/>
    <mergeCell ref="AD15:AE15"/>
    <mergeCell ref="L16:M16"/>
    <mergeCell ref="N16:Q16"/>
    <mergeCell ref="R16:S16"/>
    <mergeCell ref="AD16:AE16"/>
    <mergeCell ref="L17:P17"/>
    <mergeCell ref="R17:S17"/>
    <mergeCell ref="W17:Y17"/>
    <mergeCell ref="Z17:AA17"/>
    <mergeCell ref="AD17:AE17"/>
    <mergeCell ref="L15:M15"/>
    <mergeCell ref="N15:Q15"/>
    <mergeCell ref="R15:S15"/>
    <mergeCell ref="T15:U17"/>
    <mergeCell ref="A15:A17"/>
    <mergeCell ref="B15:B17"/>
    <mergeCell ref="C15:C17"/>
    <mergeCell ref="D15:J16"/>
    <mergeCell ref="D17:G17"/>
    <mergeCell ref="H17:J17"/>
    <mergeCell ref="T12:U14"/>
    <mergeCell ref="L14:M14"/>
    <mergeCell ref="N14:Q14"/>
    <mergeCell ref="R14:S14"/>
    <mergeCell ref="L13:M13"/>
    <mergeCell ref="N13:Q13"/>
    <mergeCell ref="R13:S13"/>
    <mergeCell ref="AD13:AE13"/>
    <mergeCell ref="V12:V14"/>
    <mergeCell ref="W12:AA13"/>
    <mergeCell ref="AD12:AE12"/>
    <mergeCell ref="W14:Y14"/>
    <mergeCell ref="Z14:AA14"/>
    <mergeCell ref="AD14:AE14"/>
    <mergeCell ref="A12:A14"/>
    <mergeCell ref="B12:B14"/>
    <mergeCell ref="C12:C14"/>
    <mergeCell ref="D12:J13"/>
    <mergeCell ref="D14:G14"/>
    <mergeCell ref="H14:J14"/>
    <mergeCell ref="L12:M12"/>
    <mergeCell ref="N12:Q12"/>
    <mergeCell ref="R12:S12"/>
    <mergeCell ref="A9:A11"/>
    <mergeCell ref="B9:B11"/>
    <mergeCell ref="C9:C11"/>
    <mergeCell ref="D9:J10"/>
    <mergeCell ref="D11:G11"/>
    <mergeCell ref="H11:J11"/>
    <mergeCell ref="L11:M11"/>
    <mergeCell ref="N11:Q11"/>
    <mergeCell ref="R11:S11"/>
    <mergeCell ref="L10:M10"/>
    <mergeCell ref="N10:Q10"/>
    <mergeCell ref="R10:S10"/>
    <mergeCell ref="AD7:AE7"/>
    <mergeCell ref="V6:V8"/>
    <mergeCell ref="W6:AA7"/>
    <mergeCell ref="AD6:AE6"/>
    <mergeCell ref="W8:Y8"/>
    <mergeCell ref="Z8:AA8"/>
    <mergeCell ref="AD8:AE8"/>
    <mergeCell ref="L9:M9"/>
    <mergeCell ref="N9:Q9"/>
    <mergeCell ref="R9:S9"/>
    <mergeCell ref="T9:U11"/>
    <mergeCell ref="W11:Y11"/>
    <mergeCell ref="W9:AA10"/>
    <mergeCell ref="AD9:AE9"/>
    <mergeCell ref="AD10:AE10"/>
    <mergeCell ref="Z11:AA11"/>
    <mergeCell ref="AD11:AE11"/>
    <mergeCell ref="V9:V11"/>
    <mergeCell ref="A6:A8"/>
    <mergeCell ref="B6:B8"/>
    <mergeCell ref="C6:C8"/>
    <mergeCell ref="D6:J7"/>
    <mergeCell ref="D8:G8"/>
    <mergeCell ref="H8:J8"/>
    <mergeCell ref="L6:M6"/>
    <mergeCell ref="N6:Q6"/>
    <mergeCell ref="R6:S6"/>
    <mergeCell ref="L8:M8"/>
    <mergeCell ref="N8:Q8"/>
    <mergeCell ref="R8:S8"/>
    <mergeCell ref="L7:M7"/>
    <mergeCell ref="N7:Q7"/>
    <mergeCell ref="R7:S7"/>
    <mergeCell ref="AQ2:AR2"/>
    <mergeCell ref="AQ7:AR7"/>
    <mergeCell ref="AQ8:AR8"/>
    <mergeCell ref="AQ9:AR9"/>
    <mergeCell ref="AQ10:AR10"/>
    <mergeCell ref="AQ11:AR11"/>
    <mergeCell ref="AQ12:AR12"/>
    <mergeCell ref="B1:D1"/>
    <mergeCell ref="AD1:AE3"/>
    <mergeCell ref="B2:D2"/>
    <mergeCell ref="B3:D3"/>
    <mergeCell ref="F3:H3"/>
    <mergeCell ref="J3:O3"/>
    <mergeCell ref="P3:Q3"/>
    <mergeCell ref="W2:Y2"/>
    <mergeCell ref="Z2:AC2"/>
    <mergeCell ref="F2:U2"/>
    <mergeCell ref="B4:AE4"/>
    <mergeCell ref="D5:J5"/>
    <mergeCell ref="L5:Q5"/>
    <mergeCell ref="T5:U5"/>
    <mergeCell ref="W5:AA5"/>
    <mergeCell ref="AC5:AE5"/>
    <mergeCell ref="T6:U8"/>
    <mergeCell ref="AQ13:AR13"/>
    <mergeCell ref="AQ14:AR14"/>
    <mergeCell ref="AQ15:AR15"/>
    <mergeCell ref="AQ16:AR16"/>
    <mergeCell ref="AQ17:AR17"/>
    <mergeCell ref="AQ18:AR18"/>
    <mergeCell ref="AI46:AI47"/>
    <mergeCell ref="AQ6:AR6"/>
    <mergeCell ref="AQ3:AR3"/>
    <mergeCell ref="AM41:AN41"/>
    <mergeCell ref="AN2:AN3"/>
    <mergeCell ref="AM2:AM3"/>
    <mergeCell ref="AM39:AN40"/>
    <mergeCell ref="AI36:AI37"/>
    <mergeCell ref="AI39:AI40"/>
    <mergeCell ref="AM38:AN38"/>
    <mergeCell ref="AM44:AN44"/>
    <mergeCell ref="AM42:AN42"/>
    <mergeCell ref="AM43:AN43"/>
    <mergeCell ref="AP44:AQ44"/>
    <mergeCell ref="AM45:AN45"/>
    <mergeCell ref="AQ25:AR25"/>
    <mergeCell ref="AQ26:AR26"/>
    <mergeCell ref="AQ27:AR27"/>
    <mergeCell ref="AQ28:AR28"/>
    <mergeCell ref="AQ29:AR29"/>
    <mergeCell ref="AQ30:AR30"/>
    <mergeCell ref="AQ19:AR19"/>
    <mergeCell ref="AQ20:AR20"/>
    <mergeCell ref="AQ21:AR21"/>
    <mergeCell ref="AQ22:AR22"/>
    <mergeCell ref="AQ23:AR23"/>
    <mergeCell ref="AQ24:AR24"/>
    <mergeCell ref="AP42:AQ42"/>
    <mergeCell ref="AP43:AQ43"/>
    <mergeCell ref="AQ31:AR31"/>
    <mergeCell ref="AQ32:AR32"/>
    <mergeCell ref="AP45:AQ45"/>
    <mergeCell ref="AR39:AR40"/>
    <mergeCell ref="AP38:AQ38"/>
    <mergeCell ref="AQ33:AR33"/>
    <mergeCell ref="AQ34:AR34"/>
    <mergeCell ref="AQ35:AR35"/>
    <mergeCell ref="AP39:AQ40"/>
    <mergeCell ref="AP41:AQ41"/>
  </mergeCells>
  <phoneticPr fontId="1" type="noConversion"/>
  <conditionalFormatting sqref="D8:J8 D11:J11 D14:J14 D17:J17 D20:J20 D23:J23 D26:J26 D29:J29 D32:J32 D35:J35">
    <cfRule type="expression" dxfId="7" priority="1" stopIfTrue="1">
      <formula>OR($D8&lt;&gt;$B6,$H8&lt;&gt;0)</formula>
    </cfRule>
  </conditionalFormatting>
  <conditionalFormatting sqref="W8:AA8 W11:AA11 W14:AA14 W17:AA17 W20:AA20 W23:AA23 W26:AA26 W29:AA29 W32:AA32">
    <cfRule type="expression" dxfId="6" priority="2" stopIfTrue="1">
      <formula>OR($W8&lt;&gt;$T6,$Z8&lt;&gt;0)</formula>
    </cfRule>
  </conditionalFormatting>
  <conditionalFormatting sqref="P38:Q49">
    <cfRule type="expression" dxfId="5" priority="3" stopIfTrue="1">
      <formula>AND($AH38="y",$P38="")</formula>
    </cfRule>
  </conditionalFormatting>
  <conditionalFormatting sqref="B52:H52">
    <cfRule type="expression" dxfId="4" priority="4" stopIfTrue="1">
      <formula>COUNTA($B$52:$H$57)=0</formula>
    </cfRule>
  </conditionalFormatting>
  <conditionalFormatting sqref="AM5">
    <cfRule type="cellIs" dxfId="3" priority="5" stopIfTrue="1" operator="lessThan">
      <formula>0</formula>
    </cfRule>
    <cfRule type="cellIs" dxfId="2" priority="6" stopIfTrue="1" operator="greaterThan">
      <formula>0</formula>
    </cfRule>
  </conditionalFormatting>
  <conditionalFormatting sqref="T46:AA46">
    <cfRule type="expression" dxfId="1" priority="7" stopIfTrue="1">
      <formula>composure&lt;19</formula>
    </cfRule>
  </conditionalFormatting>
  <conditionalFormatting sqref="AC51:AE51">
    <cfRule type="cellIs" dxfId="0" priority="8" stopIfTrue="1" operator="equal">
      <formula>""</formula>
    </cfRule>
  </conditionalFormatting>
  <dataValidations count="22">
    <dataValidation type="textLength" allowBlank="1" showInputMessage="1" showErrorMessage="1" sqref="P38:Q49">
      <formula1>0</formula1>
      <formula2>AI38</formula2>
    </dataValidation>
    <dataValidation type="whole" allowBlank="1" showInputMessage="1" showErrorMessage="1" sqref="F3:H3">
      <formula1>AH2</formula1>
      <formula2>99</formula2>
    </dataValidation>
    <dataValidation type="whole" allowBlank="1" showInputMessage="1" showErrorMessage="1" sqref="AN32:AN35">
      <formula1>0</formula1>
      <formula2>AI34</formula2>
    </dataValidation>
    <dataValidation type="whole" allowBlank="1" showInputMessage="1" showErrorMessage="1" sqref="AN12:AN30">
      <formula1>0</formula1>
      <formula2>AI16</formula2>
    </dataValidation>
    <dataValidation type="whole" allowBlank="1" showInputMessage="1" showErrorMessage="1" sqref="AQ7:AR35">
      <formula1>0</formula1>
      <formula2>AT7</formula2>
    </dataValidation>
    <dataValidation type="list" allowBlank="1" showInputMessage="1" showErrorMessage="1" sqref="AP41:AQ45">
      <formula1>INDIRECT($AW41)</formula1>
    </dataValidation>
    <dataValidation type="whole" allowBlank="1" showInputMessage="1" showErrorMessage="1" sqref="AP3:AQ3 AN9">
      <formula1>0</formula1>
      <formula2>99999</formula2>
    </dataValidation>
    <dataValidation type="whole" allowBlank="1" showInputMessage="1" showErrorMessage="1" sqref="AN2:AN3">
      <formula1>0</formula1>
      <formula2>999999</formula2>
    </dataValidation>
    <dataValidation type="list" allowBlank="1" showInputMessage="1" showErrorMessage="1" sqref="AP7:AP35">
      <formula1>specialitylookup</formula1>
    </dataValidation>
    <dataValidation type="list" allowBlank="1" showInputMessage="1" showErrorMessage="1" sqref="AM32:AM35">
      <formula1>languages</formula1>
    </dataValidation>
    <dataValidation type="list" allowBlank="1" showInputMessage="1" showErrorMessage="1" sqref="I52:M58">
      <formula1>weapquality</formula1>
    </dataValidation>
    <dataValidation type="list" allowBlank="1" showInputMessage="1" showErrorMessage="1" sqref="B52:H58">
      <formula1>weaponlookup</formula1>
    </dataValidation>
    <dataValidation type="list" allowBlank="1" showInputMessage="1" showErrorMessage="1" sqref="AC51">
      <formula1>armourlist</formula1>
    </dataValidation>
    <dataValidation type="list" allowBlank="1" showInputMessage="1" showErrorMessage="1" sqref="AM39:AN40">
      <formula1>_ben1</formula1>
    </dataValidation>
    <dataValidation type="list" allowBlank="1" showInputMessage="1" showErrorMessage="1" sqref="AM41:AN41">
      <formula1>_ben2</formula1>
    </dataValidation>
    <dataValidation type="list" allowBlank="1" showInputMessage="1" showErrorMessage="1" sqref="AM42:AN42">
      <formula1>_ben3</formula1>
    </dataValidation>
    <dataValidation type="list" allowBlank="1" showInputMessage="1" showErrorMessage="1" sqref="AM43:AN43">
      <formula1>_ben4</formula1>
    </dataValidation>
    <dataValidation type="list" allowBlank="1" showInputMessage="1" showErrorMessage="1" sqref="AM44:AN44">
      <formula1>_ben5</formula1>
    </dataValidation>
    <dataValidation type="list" allowBlank="1" showInputMessage="1" showErrorMessage="1" sqref="AM45:AN45">
      <formula1>_ben6</formula1>
    </dataValidation>
    <dataValidation type="list" allowBlank="1" showInputMessage="1" showErrorMessage="1" sqref="AZ42">
      <formula1>$BK$6</formula1>
    </dataValidation>
    <dataValidation type="list" allowBlank="1" showInputMessage="1" showErrorMessage="1" sqref="AP39:AQ40">
      <formula1>INDIRECT($AW$39)</formula1>
    </dataValidation>
    <dataValidation type="list" allowBlank="1" showDropDown="1" showInputMessage="1" showErrorMessage="1" sqref="AR39:AR45">
      <formula1>"y,Y"</formula1>
    </dataValidation>
  </dataValidations>
  <pageMargins left="0.39370078740157483" right="0.39370078740157483" top="0.51181102362204722" bottom="0.51181102362204722" header="0.51181102362204722" footer="0.51181102362204722"/>
  <pageSetup paperSize="9" orientation="portrait" horizontalDpi="4294967293" verticalDpi="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3"/>
  <dimension ref="A1:J44"/>
  <sheetViews>
    <sheetView zoomScale="120" workbookViewId="0">
      <selection activeCell="I4" sqref="I4"/>
    </sheetView>
  </sheetViews>
  <sheetFormatPr defaultColWidth="0" defaultRowHeight="17.100000000000001" customHeight="1" zeroHeight="1"/>
  <cols>
    <col min="1" max="1" width="0.85546875" style="3" customWidth="1"/>
    <col min="2" max="2" width="30.7109375" style="3" customWidth="1"/>
    <col min="3" max="3" width="15.42578125" style="3" customWidth="1"/>
    <col min="4" max="4" width="0.85546875" style="3" customWidth="1"/>
    <col min="5" max="5" width="12" style="3" customWidth="1"/>
    <col min="6" max="6" width="3.42578125" style="3" customWidth="1"/>
    <col min="7" max="7" width="8.7109375" style="3" customWidth="1"/>
    <col min="8" max="8" width="13" style="3" customWidth="1"/>
    <col min="9" max="9" width="11.7109375" style="3" customWidth="1"/>
    <col min="10" max="10" width="0.85546875" style="3" customWidth="1"/>
    <col min="11" max="16384" width="0" style="3" hidden="1"/>
  </cols>
  <sheetData>
    <row r="1" spans="1:10" ht="8.1" customHeight="1">
      <c r="A1" s="1"/>
      <c r="B1" s="354"/>
      <c r="C1" s="1"/>
      <c r="D1" s="1"/>
      <c r="E1" s="1"/>
      <c r="F1" s="1"/>
      <c r="G1" s="1"/>
      <c r="H1" s="1"/>
      <c r="I1" s="1"/>
      <c r="J1" s="1"/>
    </row>
    <row r="2" spans="1:10" ht="18.95" customHeight="1" thickBot="1">
      <c r="A2" s="1"/>
      <c r="B2" s="919" t="s">
        <v>497</v>
      </c>
      <c r="C2" s="919"/>
      <c r="D2" s="1"/>
      <c r="E2" s="919" t="s">
        <v>498</v>
      </c>
      <c r="F2" s="919"/>
      <c r="G2" s="925"/>
      <c r="H2" s="925"/>
      <c r="I2" s="925"/>
      <c r="J2" s="1"/>
    </row>
    <row r="3" spans="1:10" ht="18.95" customHeight="1" thickTop="1" thickBot="1">
      <c r="A3" s="1"/>
      <c r="B3" s="920"/>
      <c r="C3" s="920"/>
      <c r="D3" s="1"/>
      <c r="E3" s="355" t="s">
        <v>499</v>
      </c>
      <c r="F3" s="921"/>
      <c r="G3" s="922"/>
      <c r="H3" s="357" t="s">
        <v>501</v>
      </c>
      <c r="I3" s="360"/>
      <c r="J3" s="1"/>
    </row>
    <row r="4" spans="1:10" ht="18.95" customHeight="1" thickBot="1">
      <c r="A4" s="1"/>
      <c r="B4" s="917"/>
      <c r="C4" s="917"/>
      <c r="D4" s="1"/>
      <c r="E4" s="356" t="s">
        <v>500</v>
      </c>
      <c r="F4" s="923"/>
      <c r="G4" s="924"/>
      <c r="H4" s="358" t="s">
        <v>502</v>
      </c>
      <c r="I4" s="361"/>
      <c r="J4" s="1"/>
    </row>
    <row r="5" spans="1:10" ht="18.95" customHeight="1" thickTop="1" thickBot="1">
      <c r="A5" s="1"/>
      <c r="B5" s="917"/>
      <c r="C5" s="917"/>
      <c r="D5" s="1"/>
      <c r="E5" s="908" t="s">
        <v>503</v>
      </c>
      <c r="F5" s="908"/>
      <c r="G5" s="909"/>
      <c r="H5" s="909"/>
      <c r="I5" s="909"/>
      <c r="J5" s="1"/>
    </row>
    <row r="6" spans="1:10" ht="18.95" customHeight="1" thickTop="1" thickBot="1">
      <c r="A6" s="1"/>
      <c r="B6" s="917"/>
      <c r="C6" s="917"/>
      <c r="D6" s="1"/>
      <c r="E6" s="913"/>
      <c r="F6" s="914"/>
      <c r="G6" s="914"/>
      <c r="H6" s="914"/>
      <c r="I6" s="914"/>
      <c r="J6" s="1"/>
    </row>
    <row r="7" spans="1:10" ht="18.95" customHeight="1" thickBot="1">
      <c r="A7" s="1"/>
      <c r="B7" s="918"/>
      <c r="C7" s="918"/>
      <c r="D7" s="1"/>
      <c r="E7" s="915"/>
      <c r="F7" s="915"/>
      <c r="G7" s="915"/>
      <c r="H7" s="915"/>
      <c r="I7" s="915"/>
      <c r="J7" s="1"/>
    </row>
    <row r="8" spans="1:10" ht="18.95" customHeight="1" thickTop="1" thickBot="1">
      <c r="A8" s="1"/>
      <c r="B8" s="893" t="s">
        <v>506</v>
      </c>
      <c r="C8" s="893"/>
      <c r="D8" s="1"/>
      <c r="E8" s="916"/>
      <c r="F8" s="916"/>
      <c r="G8" s="916"/>
      <c r="H8" s="916"/>
      <c r="I8" s="916"/>
      <c r="J8" s="1"/>
    </row>
    <row r="9" spans="1:10" ht="18.95" customHeight="1" thickTop="1" thickBot="1">
      <c r="A9" s="1"/>
      <c r="B9" s="910"/>
      <c r="C9" s="910"/>
      <c r="D9" s="79"/>
      <c r="E9" s="908" t="s">
        <v>504</v>
      </c>
      <c r="F9" s="908"/>
      <c r="G9" s="909"/>
      <c r="H9" s="909"/>
      <c r="I9" s="909"/>
      <c r="J9" s="1"/>
    </row>
    <row r="10" spans="1:10" ht="18.95" customHeight="1" thickTop="1">
      <c r="A10" s="1"/>
      <c r="B10" s="911"/>
      <c r="C10" s="911"/>
      <c r="D10" s="79"/>
      <c r="E10" s="894"/>
      <c r="F10" s="894"/>
      <c r="G10" s="894"/>
      <c r="H10" s="894"/>
      <c r="I10" s="894"/>
      <c r="J10" s="1"/>
    </row>
    <row r="11" spans="1:10" ht="18.95" customHeight="1">
      <c r="A11" s="1"/>
      <c r="B11" s="911"/>
      <c r="C11" s="911"/>
      <c r="D11" s="79"/>
      <c r="E11" s="895"/>
      <c r="F11" s="895"/>
      <c r="G11" s="895"/>
      <c r="H11" s="895"/>
      <c r="I11" s="895"/>
      <c r="J11" s="1"/>
    </row>
    <row r="12" spans="1:10" ht="18.95" customHeight="1" thickBot="1">
      <c r="A12" s="1"/>
      <c r="B12" s="911"/>
      <c r="C12" s="911"/>
      <c r="D12" s="79"/>
      <c r="E12" s="896"/>
      <c r="F12" s="896"/>
      <c r="G12" s="896"/>
      <c r="H12" s="896"/>
      <c r="I12" s="896"/>
      <c r="J12" s="1"/>
    </row>
    <row r="13" spans="1:10" ht="18.95" customHeight="1" thickTop="1" thickBot="1">
      <c r="A13" s="1"/>
      <c r="B13" s="911"/>
      <c r="C13" s="911"/>
      <c r="D13" s="79"/>
      <c r="E13" s="893" t="s">
        <v>505</v>
      </c>
      <c r="F13" s="893"/>
      <c r="G13" s="909"/>
      <c r="H13" s="909"/>
      <c r="I13" s="909"/>
      <c r="J13" s="1"/>
    </row>
    <row r="14" spans="1:10" ht="18.95" customHeight="1" thickTop="1">
      <c r="A14" s="1"/>
      <c r="B14" s="911"/>
      <c r="C14" s="911"/>
      <c r="D14" s="79"/>
      <c r="E14" s="910"/>
      <c r="F14" s="910"/>
      <c r="G14" s="910"/>
      <c r="H14" s="910"/>
      <c r="I14" s="910"/>
      <c r="J14" s="1"/>
    </row>
    <row r="15" spans="1:10" ht="18.95" customHeight="1">
      <c r="A15" s="1"/>
      <c r="B15" s="911"/>
      <c r="C15" s="911"/>
      <c r="D15" s="79"/>
      <c r="E15" s="911"/>
      <c r="F15" s="911"/>
      <c r="G15" s="911"/>
      <c r="H15" s="911"/>
      <c r="I15" s="911"/>
      <c r="J15" s="1"/>
    </row>
    <row r="16" spans="1:10" ht="18.95" customHeight="1">
      <c r="A16" s="1"/>
      <c r="B16" s="911"/>
      <c r="C16" s="911"/>
      <c r="D16" s="79"/>
      <c r="E16" s="911"/>
      <c r="F16" s="911"/>
      <c r="G16" s="911"/>
      <c r="H16" s="911"/>
      <c r="I16" s="911"/>
      <c r="J16" s="1"/>
    </row>
    <row r="17" spans="1:10" ht="18.95" customHeight="1">
      <c r="A17" s="1"/>
      <c r="B17" s="911"/>
      <c r="C17" s="911"/>
      <c r="D17" s="79"/>
      <c r="E17" s="911"/>
      <c r="F17" s="911"/>
      <c r="G17" s="911"/>
      <c r="H17" s="911"/>
      <c r="I17" s="911"/>
      <c r="J17" s="1"/>
    </row>
    <row r="18" spans="1:10" ht="18.95" customHeight="1">
      <c r="A18" s="1"/>
      <c r="B18" s="911"/>
      <c r="C18" s="911"/>
      <c r="D18" s="79"/>
      <c r="E18" s="911"/>
      <c r="F18" s="911"/>
      <c r="G18" s="911"/>
      <c r="H18" s="911"/>
      <c r="I18" s="911"/>
      <c r="J18" s="1"/>
    </row>
    <row r="19" spans="1:10" ht="18.95" customHeight="1" thickBot="1">
      <c r="A19" s="1"/>
      <c r="B19" s="912"/>
      <c r="C19" s="912"/>
      <c r="D19" s="80"/>
      <c r="E19" s="912"/>
      <c r="F19" s="912"/>
      <c r="G19" s="912"/>
      <c r="H19" s="912"/>
      <c r="I19" s="912"/>
      <c r="J19" s="1"/>
    </row>
    <row r="20" spans="1:10" ht="18.95" customHeight="1" thickTop="1" thickBot="1">
      <c r="A20" s="1"/>
      <c r="B20" s="893" t="s">
        <v>507</v>
      </c>
      <c r="C20" s="893"/>
      <c r="D20" s="893"/>
      <c r="E20" s="893"/>
      <c r="F20" s="893"/>
      <c r="G20" s="893"/>
      <c r="H20" s="893"/>
      <c r="I20" s="893"/>
      <c r="J20" s="1"/>
    </row>
    <row r="21" spans="1:10" ht="18.95" customHeight="1" thickTop="1">
      <c r="A21" s="1"/>
      <c r="B21" s="894"/>
      <c r="C21" s="894"/>
      <c r="D21" s="894"/>
      <c r="E21" s="894"/>
      <c r="F21" s="894"/>
      <c r="G21" s="894"/>
      <c r="H21" s="894"/>
      <c r="I21" s="894"/>
      <c r="J21" s="1"/>
    </row>
    <row r="22" spans="1:10" ht="18.95" customHeight="1">
      <c r="A22" s="1"/>
      <c r="B22" s="895"/>
      <c r="C22" s="895"/>
      <c r="D22" s="895"/>
      <c r="E22" s="895"/>
      <c r="F22" s="895"/>
      <c r="G22" s="895"/>
      <c r="H22" s="895"/>
      <c r="I22" s="895"/>
      <c r="J22" s="1"/>
    </row>
    <row r="23" spans="1:10" ht="18.95" customHeight="1">
      <c r="A23" s="1"/>
      <c r="B23" s="895"/>
      <c r="C23" s="895"/>
      <c r="D23" s="895"/>
      <c r="E23" s="895"/>
      <c r="F23" s="895"/>
      <c r="G23" s="895"/>
      <c r="H23" s="895"/>
      <c r="I23" s="895"/>
      <c r="J23" s="1"/>
    </row>
    <row r="24" spans="1:10" ht="18.95" customHeight="1">
      <c r="A24" s="1"/>
      <c r="B24" s="895"/>
      <c r="C24" s="895"/>
      <c r="D24" s="895"/>
      <c r="E24" s="895"/>
      <c r="F24" s="895"/>
      <c r="G24" s="895"/>
      <c r="H24" s="895"/>
      <c r="I24" s="895"/>
      <c r="J24" s="1"/>
    </row>
    <row r="25" spans="1:10" ht="18.95" customHeight="1">
      <c r="A25" s="1"/>
      <c r="B25" s="895"/>
      <c r="C25" s="895"/>
      <c r="D25" s="895"/>
      <c r="E25" s="895"/>
      <c r="F25" s="895"/>
      <c r="G25" s="895"/>
      <c r="H25" s="895"/>
      <c r="I25" s="895"/>
      <c r="J25" s="1"/>
    </row>
    <row r="26" spans="1:10" ht="18.95" customHeight="1" thickBot="1">
      <c r="A26" s="1"/>
      <c r="B26" s="896"/>
      <c r="C26" s="896"/>
      <c r="D26" s="896"/>
      <c r="E26" s="896"/>
      <c r="F26" s="896"/>
      <c r="G26" s="896"/>
      <c r="H26" s="896"/>
      <c r="I26" s="896"/>
      <c r="J26" s="1"/>
    </row>
    <row r="27" spans="1:10" ht="18.95" customHeight="1" thickTop="1" thickBot="1">
      <c r="A27" s="1"/>
      <c r="B27" s="359" t="s">
        <v>508</v>
      </c>
      <c r="C27" s="897" t="s">
        <v>509</v>
      </c>
      <c r="D27" s="897"/>
      <c r="E27" s="897"/>
      <c r="F27" s="897"/>
      <c r="G27" s="897" t="s">
        <v>510</v>
      </c>
      <c r="H27" s="897"/>
      <c r="I27" s="898"/>
      <c r="J27" s="1"/>
    </row>
    <row r="28" spans="1:10" ht="18.95" customHeight="1" thickTop="1">
      <c r="A28" s="1"/>
      <c r="B28" s="905"/>
      <c r="C28" s="899"/>
      <c r="D28" s="899"/>
      <c r="E28" s="899"/>
      <c r="F28" s="899"/>
      <c r="G28" s="899"/>
      <c r="H28" s="899"/>
      <c r="I28" s="900"/>
      <c r="J28" s="1"/>
    </row>
    <row r="29" spans="1:10" ht="18.95" customHeight="1">
      <c r="A29" s="1"/>
      <c r="B29" s="906"/>
      <c r="C29" s="901"/>
      <c r="D29" s="901"/>
      <c r="E29" s="901"/>
      <c r="F29" s="901"/>
      <c r="G29" s="901"/>
      <c r="H29" s="901"/>
      <c r="I29" s="902"/>
      <c r="J29" s="1"/>
    </row>
    <row r="30" spans="1:10" ht="18.95" customHeight="1">
      <c r="A30" s="1"/>
      <c r="B30" s="906"/>
      <c r="C30" s="901"/>
      <c r="D30" s="901"/>
      <c r="E30" s="901"/>
      <c r="F30" s="901"/>
      <c r="G30" s="901"/>
      <c r="H30" s="901"/>
      <c r="I30" s="902"/>
      <c r="J30" s="1"/>
    </row>
    <row r="31" spans="1:10" ht="18.95" customHeight="1">
      <c r="A31" s="1"/>
      <c r="B31" s="906"/>
      <c r="C31" s="901"/>
      <c r="D31" s="901"/>
      <c r="E31" s="901"/>
      <c r="F31" s="901"/>
      <c r="G31" s="901"/>
      <c r="H31" s="901"/>
      <c r="I31" s="902"/>
      <c r="J31" s="1"/>
    </row>
    <row r="32" spans="1:10" ht="18.95" customHeight="1" thickBot="1">
      <c r="A32" s="1"/>
      <c r="B32" s="907"/>
      <c r="C32" s="903"/>
      <c r="D32" s="903"/>
      <c r="E32" s="903"/>
      <c r="F32" s="903"/>
      <c r="G32" s="903"/>
      <c r="H32" s="903"/>
      <c r="I32" s="904"/>
      <c r="J32" s="1"/>
    </row>
    <row r="33" spans="1:10" ht="18.95" customHeight="1" thickTop="1" thickBot="1">
      <c r="A33" s="1"/>
      <c r="B33" s="359" t="s">
        <v>511</v>
      </c>
      <c r="C33" s="897" t="s">
        <v>512</v>
      </c>
      <c r="D33" s="897"/>
      <c r="E33" s="897"/>
      <c r="F33" s="897"/>
      <c r="G33" s="897" t="s">
        <v>513</v>
      </c>
      <c r="H33" s="897"/>
      <c r="I33" s="898"/>
      <c r="J33" s="1"/>
    </row>
    <row r="34" spans="1:10" ht="18.95" customHeight="1" thickTop="1">
      <c r="A34" s="1"/>
      <c r="B34" s="905"/>
      <c r="C34" s="899"/>
      <c r="D34" s="899"/>
      <c r="E34" s="899"/>
      <c r="F34" s="899"/>
      <c r="G34" s="899"/>
      <c r="H34" s="899"/>
      <c r="I34" s="900"/>
      <c r="J34" s="1"/>
    </row>
    <row r="35" spans="1:10" ht="18.95" customHeight="1">
      <c r="A35" s="1"/>
      <c r="B35" s="906"/>
      <c r="C35" s="901"/>
      <c r="D35" s="901"/>
      <c r="E35" s="901"/>
      <c r="F35" s="901"/>
      <c r="G35" s="901"/>
      <c r="H35" s="901"/>
      <c r="I35" s="902"/>
      <c r="J35" s="1"/>
    </row>
    <row r="36" spans="1:10" ht="18.95" customHeight="1">
      <c r="A36" s="1"/>
      <c r="B36" s="906"/>
      <c r="C36" s="901"/>
      <c r="D36" s="901"/>
      <c r="E36" s="901"/>
      <c r="F36" s="901"/>
      <c r="G36" s="901"/>
      <c r="H36" s="901"/>
      <c r="I36" s="902"/>
      <c r="J36" s="1"/>
    </row>
    <row r="37" spans="1:10" ht="18.95" customHeight="1">
      <c r="A37" s="1"/>
      <c r="B37" s="906"/>
      <c r="C37" s="901"/>
      <c r="D37" s="901"/>
      <c r="E37" s="901"/>
      <c r="F37" s="901"/>
      <c r="G37" s="901"/>
      <c r="H37" s="901"/>
      <c r="I37" s="902"/>
      <c r="J37" s="1"/>
    </row>
    <row r="38" spans="1:10" ht="18.95" customHeight="1">
      <c r="A38" s="1"/>
      <c r="B38" s="906"/>
      <c r="C38" s="901"/>
      <c r="D38" s="901"/>
      <c r="E38" s="901"/>
      <c r="F38" s="901"/>
      <c r="G38" s="901"/>
      <c r="H38" s="901"/>
      <c r="I38" s="902"/>
      <c r="J38" s="1"/>
    </row>
    <row r="39" spans="1:10" ht="18.95" customHeight="1">
      <c r="A39" s="1"/>
      <c r="B39" s="906"/>
      <c r="C39" s="901"/>
      <c r="D39" s="901"/>
      <c r="E39" s="901"/>
      <c r="F39" s="901"/>
      <c r="G39" s="901"/>
      <c r="H39" s="901"/>
      <c r="I39" s="902"/>
      <c r="J39" s="1"/>
    </row>
    <row r="40" spans="1:10" ht="18.95" customHeight="1" thickBot="1">
      <c r="A40" s="1"/>
      <c r="B40" s="907"/>
      <c r="C40" s="903"/>
      <c r="D40" s="903"/>
      <c r="E40" s="903"/>
      <c r="F40" s="903"/>
      <c r="G40" s="903"/>
      <c r="H40" s="903"/>
      <c r="I40" s="904"/>
      <c r="J40" s="1"/>
    </row>
    <row r="41" spans="1:10" ht="8.1" customHeight="1" thickTop="1">
      <c r="A41" s="1"/>
      <c r="B41" s="1"/>
      <c r="C41" s="1"/>
      <c r="D41" s="1"/>
      <c r="E41" s="1"/>
      <c r="F41" s="1"/>
      <c r="G41" s="1"/>
      <c r="H41" s="1"/>
      <c r="I41" s="1"/>
      <c r="J41" s="1"/>
    </row>
    <row r="42" spans="1:10" ht="17.100000000000001" hidden="1" customHeight="1"/>
    <row r="43" spans="1:10" ht="17.100000000000001" hidden="1" customHeight="1"/>
    <row r="44" spans="1:10" ht="17.100000000000001" hidden="1" customHeight="1"/>
  </sheetData>
  <mergeCells count="29">
    <mergeCell ref="B2:C2"/>
    <mergeCell ref="B3:C3"/>
    <mergeCell ref="B4:C4"/>
    <mergeCell ref="B5:C5"/>
    <mergeCell ref="F3:G3"/>
    <mergeCell ref="F4:G4"/>
    <mergeCell ref="E2:I2"/>
    <mergeCell ref="E5:I5"/>
    <mergeCell ref="E9:I9"/>
    <mergeCell ref="E10:I12"/>
    <mergeCell ref="E13:I13"/>
    <mergeCell ref="B8:C8"/>
    <mergeCell ref="B9:C19"/>
    <mergeCell ref="E14:I19"/>
    <mergeCell ref="E6:I8"/>
    <mergeCell ref="B6:C6"/>
    <mergeCell ref="B7:C7"/>
    <mergeCell ref="B20:I20"/>
    <mergeCell ref="B21:I26"/>
    <mergeCell ref="C27:F27"/>
    <mergeCell ref="G27:I27"/>
    <mergeCell ref="G34:I40"/>
    <mergeCell ref="C34:F40"/>
    <mergeCell ref="B34:B40"/>
    <mergeCell ref="B28:B32"/>
    <mergeCell ref="C28:F32"/>
    <mergeCell ref="G28:I32"/>
    <mergeCell ref="C33:F33"/>
    <mergeCell ref="G33:I33"/>
  </mergeCells>
  <phoneticPr fontId="1" type="noConversion"/>
  <printOptions horizontalCentered="1"/>
  <pageMargins left="0.35433070866141736" right="0.35433070866141736" top="0.70866141732283472" bottom="0.70866141732283472" header="0.51181102362204722" footer="0.51181102362204722"/>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dimension ref="A1:C43"/>
  <sheetViews>
    <sheetView zoomScale="80" workbookViewId="0">
      <selection activeCell="B2" sqref="B2"/>
    </sheetView>
  </sheetViews>
  <sheetFormatPr defaultColWidth="0" defaultRowHeight="12.75" zeroHeight="1"/>
  <cols>
    <col min="1" max="1" width="9.140625" style="423" customWidth="1"/>
    <col min="2" max="2" width="50.7109375" style="424" customWidth="1"/>
    <col min="3" max="3" width="48.85546875" style="424" customWidth="1"/>
  </cols>
  <sheetData>
    <row r="1" spans="1:3">
      <c r="A1" s="426" t="s">
        <v>13</v>
      </c>
      <c r="B1" s="425" t="s">
        <v>14</v>
      </c>
      <c r="C1" s="430" t="s">
        <v>15</v>
      </c>
    </row>
    <row r="2" spans="1:3">
      <c r="A2" s="427">
        <v>3.1</v>
      </c>
      <c r="B2" s="434" t="s">
        <v>12</v>
      </c>
      <c r="C2" s="431" t="s">
        <v>16</v>
      </c>
    </row>
    <row r="3" spans="1:3">
      <c r="A3" s="428"/>
      <c r="B3" s="435"/>
      <c r="C3" s="432"/>
    </row>
    <row r="4" spans="1:3">
      <c r="A4" s="428"/>
      <c r="B4" s="435"/>
      <c r="C4" s="432"/>
    </row>
    <row r="5" spans="1:3">
      <c r="A5" s="428"/>
      <c r="B5" s="435"/>
      <c r="C5" s="432"/>
    </row>
    <row r="6" spans="1:3">
      <c r="A6" s="428"/>
      <c r="B6" s="435"/>
      <c r="C6" s="432"/>
    </row>
    <row r="7" spans="1:3">
      <c r="A7" s="428"/>
      <c r="B7" s="435"/>
      <c r="C7" s="432"/>
    </row>
    <row r="8" spans="1:3">
      <c r="A8" s="428"/>
      <c r="B8" s="435"/>
      <c r="C8" s="432"/>
    </row>
    <row r="9" spans="1:3">
      <c r="A9" s="428"/>
      <c r="B9" s="435"/>
      <c r="C9" s="432"/>
    </row>
    <row r="10" spans="1:3">
      <c r="A10" s="428"/>
      <c r="B10" s="435"/>
      <c r="C10" s="432"/>
    </row>
    <row r="11" spans="1:3">
      <c r="A11" s="428"/>
      <c r="B11" s="435"/>
      <c r="C11" s="432"/>
    </row>
    <row r="12" spans="1:3">
      <c r="A12" s="428"/>
      <c r="B12" s="435"/>
      <c r="C12" s="432"/>
    </row>
    <row r="13" spans="1:3">
      <c r="A13" s="428"/>
      <c r="B13" s="435"/>
      <c r="C13" s="432"/>
    </row>
    <row r="14" spans="1:3">
      <c r="A14" s="428"/>
      <c r="B14" s="435"/>
      <c r="C14" s="432"/>
    </row>
    <row r="15" spans="1:3">
      <c r="A15" s="428"/>
      <c r="B15" s="435"/>
      <c r="C15" s="432"/>
    </row>
    <row r="16" spans="1:3">
      <c r="A16" s="428"/>
      <c r="B16" s="435"/>
      <c r="C16" s="432"/>
    </row>
    <row r="17" spans="1:3">
      <c r="A17" s="428"/>
      <c r="B17" s="435"/>
      <c r="C17" s="432"/>
    </row>
    <row r="18" spans="1:3">
      <c r="A18" s="428"/>
      <c r="B18" s="435"/>
      <c r="C18" s="432"/>
    </row>
    <row r="19" spans="1:3">
      <c r="A19" s="428"/>
      <c r="B19" s="435"/>
      <c r="C19" s="432"/>
    </row>
    <row r="20" spans="1:3">
      <c r="A20" s="428"/>
      <c r="B20" s="435"/>
      <c r="C20" s="432"/>
    </row>
    <row r="21" spans="1:3">
      <c r="A21" s="428"/>
      <c r="B21" s="435"/>
      <c r="C21" s="432"/>
    </row>
    <row r="22" spans="1:3">
      <c r="A22" s="428"/>
      <c r="B22" s="435"/>
      <c r="C22" s="432"/>
    </row>
    <row r="23" spans="1:3">
      <c r="A23" s="428"/>
      <c r="B23" s="435"/>
      <c r="C23" s="432"/>
    </row>
    <row r="24" spans="1:3">
      <c r="A24" s="428"/>
      <c r="B24" s="435"/>
      <c r="C24" s="432"/>
    </row>
    <row r="25" spans="1:3">
      <c r="A25" s="428"/>
      <c r="B25" s="435"/>
      <c r="C25" s="432"/>
    </row>
    <row r="26" spans="1:3">
      <c r="A26" s="428"/>
      <c r="B26" s="435"/>
      <c r="C26" s="432"/>
    </row>
    <row r="27" spans="1:3">
      <c r="A27" s="428"/>
      <c r="B27" s="435"/>
      <c r="C27" s="432"/>
    </row>
    <row r="28" spans="1:3">
      <c r="A28" s="428"/>
      <c r="B28" s="435"/>
      <c r="C28" s="432"/>
    </row>
    <row r="29" spans="1:3">
      <c r="A29" s="428"/>
      <c r="B29" s="435"/>
      <c r="C29" s="432"/>
    </row>
    <row r="30" spans="1:3">
      <c r="A30" s="428"/>
      <c r="B30" s="435"/>
      <c r="C30" s="432"/>
    </row>
    <row r="31" spans="1:3">
      <c r="A31" s="428"/>
      <c r="B31" s="435"/>
      <c r="C31" s="432"/>
    </row>
    <row r="32" spans="1:3">
      <c r="A32" s="428"/>
      <c r="B32" s="435"/>
      <c r="C32" s="432"/>
    </row>
    <row r="33" spans="1:3">
      <c r="A33" s="428"/>
      <c r="B33" s="435"/>
      <c r="C33" s="432"/>
    </row>
    <row r="34" spans="1:3">
      <c r="A34" s="428"/>
      <c r="B34" s="435"/>
      <c r="C34" s="432"/>
    </row>
    <row r="35" spans="1:3">
      <c r="A35" s="428"/>
      <c r="B35" s="435"/>
      <c r="C35" s="432"/>
    </row>
    <row r="36" spans="1:3">
      <c r="A36" s="428"/>
      <c r="B36" s="435"/>
      <c r="C36" s="432"/>
    </row>
    <row r="37" spans="1:3">
      <c r="A37" s="428"/>
      <c r="B37" s="435"/>
      <c r="C37" s="432"/>
    </row>
    <row r="38" spans="1:3">
      <c r="A38" s="428"/>
      <c r="B38" s="435"/>
      <c r="C38" s="432"/>
    </row>
    <row r="39" spans="1:3">
      <c r="A39" s="428"/>
      <c r="B39" s="435"/>
      <c r="C39" s="432"/>
    </row>
    <row r="40" spans="1:3">
      <c r="A40" s="428"/>
      <c r="B40" s="435"/>
      <c r="C40" s="432"/>
    </row>
    <row r="41" spans="1:3">
      <c r="A41" s="428"/>
      <c r="B41" s="435"/>
      <c r="C41" s="432"/>
    </row>
    <row r="42" spans="1:3">
      <c r="A42" s="428"/>
      <c r="B42" s="435"/>
      <c r="C42" s="432"/>
    </row>
    <row r="43" spans="1:3">
      <c r="A43" s="429"/>
      <c r="B43" s="436"/>
      <c r="C43" s="433"/>
    </row>
  </sheetData>
  <phoneticPr fontId="1"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codeName="Sheet4"/>
  <dimension ref="A1:EE470"/>
  <sheetViews>
    <sheetView topLeftCell="AE117" zoomScale="99" workbookViewId="0">
      <selection activeCell="AG150" sqref="AG150"/>
    </sheetView>
  </sheetViews>
  <sheetFormatPr defaultRowHeight="12.75"/>
  <cols>
    <col min="1" max="1" width="17.5703125" style="16" bestFit="1" customWidth="1"/>
    <col min="2" max="2" width="6" style="16" bestFit="1" customWidth="1"/>
    <col min="3" max="3" width="16.7109375" style="16" bestFit="1" customWidth="1"/>
    <col min="4" max="4" width="9.85546875" style="16" bestFit="1" customWidth="1"/>
    <col min="5" max="5" width="8.5703125" style="16" bestFit="1" customWidth="1"/>
    <col min="6" max="6" width="13.140625" style="16" customWidth="1"/>
    <col min="7" max="7" width="10.85546875" style="16" customWidth="1"/>
    <col min="8" max="8" width="8.5703125" style="16" bestFit="1" customWidth="1"/>
    <col min="9" max="9" width="27.140625" style="16" bestFit="1" customWidth="1"/>
    <col min="10" max="10" width="14.7109375" style="16" bestFit="1" customWidth="1"/>
    <col min="11" max="11" width="4.5703125" style="16" customWidth="1"/>
    <col min="12" max="12" width="13.28515625" style="16" bestFit="1" customWidth="1"/>
    <col min="13" max="13" width="13.85546875" style="16" bestFit="1" customWidth="1"/>
    <col min="14" max="14" width="13.5703125" style="16" bestFit="1" customWidth="1"/>
    <col min="15" max="15" width="13.85546875" style="16" bestFit="1" customWidth="1"/>
    <col min="16" max="16" width="13.28515625" style="16" bestFit="1" customWidth="1"/>
    <col min="17" max="17" width="13.85546875" style="16" bestFit="1" customWidth="1"/>
    <col min="18" max="18" width="13.5703125" style="16" bestFit="1" customWidth="1"/>
    <col min="19" max="19" width="14.42578125" style="16" bestFit="1" customWidth="1"/>
    <col min="20" max="20" width="13.28515625" style="16" bestFit="1" customWidth="1"/>
    <col min="21" max="21" width="13.5703125" style="16" customWidth="1"/>
    <col min="22" max="22" width="18.28515625" style="16" bestFit="1" customWidth="1"/>
    <col min="23" max="23" width="14.42578125" style="16" bestFit="1" customWidth="1"/>
    <col min="24" max="24" width="13.5703125" style="5" bestFit="1" customWidth="1"/>
    <col min="25" max="25" width="13.85546875" style="5" bestFit="1" customWidth="1"/>
    <col min="26" max="26" width="13.5703125" style="5" bestFit="1" customWidth="1"/>
    <col min="27" max="27" width="32.140625" style="5" bestFit="1" customWidth="1"/>
    <col min="28" max="28" width="31.28515625" style="5" bestFit="1" customWidth="1"/>
    <col min="29" max="30" width="15.85546875" style="5" bestFit="1" customWidth="1"/>
    <col min="31" max="31" width="14.7109375" style="16" bestFit="1" customWidth="1"/>
    <col min="32" max="32" width="3.7109375" style="16" bestFit="1" customWidth="1"/>
    <col min="33" max="33" width="26" style="16" bestFit="1" customWidth="1"/>
    <col min="34" max="34" width="6.7109375" style="16" customWidth="1"/>
    <col min="35" max="35" width="36.7109375" style="16" customWidth="1"/>
    <col min="36" max="36" width="7.140625" style="60" customWidth="1"/>
    <col min="37" max="37" width="6.5703125" style="60" customWidth="1"/>
    <col min="38" max="38" width="1.85546875" style="60" customWidth="1"/>
    <col min="39" max="39" width="5.85546875" style="16" customWidth="1"/>
    <col min="40" max="40" width="3.5703125" style="16" customWidth="1"/>
    <col min="41" max="41" width="79.85546875" style="16" bestFit="1" customWidth="1"/>
    <col min="42" max="42" width="5.85546875" style="16" bestFit="1" customWidth="1"/>
    <col min="43" max="43" width="2.7109375" style="16" bestFit="1" customWidth="1"/>
    <col min="44" max="44" width="7.7109375" style="16" bestFit="1" customWidth="1"/>
    <col min="45" max="45" width="2.7109375" style="16" bestFit="1" customWidth="1"/>
    <col min="46" max="46" width="8" style="16" bestFit="1" customWidth="1"/>
    <col min="47" max="47" width="2.7109375" style="16" bestFit="1" customWidth="1"/>
    <col min="48" max="48" width="10.140625" style="16" bestFit="1" customWidth="1"/>
    <col min="49" max="49" width="2.7109375" style="16" bestFit="1" customWidth="1"/>
    <col min="50" max="50" width="7.5703125" style="16" bestFit="1" customWidth="1"/>
    <col min="51" max="51" width="2.7109375" style="16" bestFit="1" customWidth="1"/>
    <col min="52" max="52" width="8.85546875" style="16" bestFit="1" customWidth="1"/>
    <col min="53" max="53" width="2.7109375" style="16" bestFit="1" customWidth="1"/>
    <col min="54" max="54" width="9.28515625" style="16" bestFit="1" customWidth="1"/>
    <col min="55" max="55" width="2.7109375" style="16" bestFit="1" customWidth="1"/>
    <col min="56" max="56" width="7.28515625" style="16" bestFit="1" customWidth="1"/>
    <col min="57" max="57" width="2.7109375" style="16" bestFit="1" customWidth="1"/>
    <col min="58" max="58" width="6.7109375" style="16" bestFit="1" customWidth="1"/>
    <col min="59" max="59" width="6.85546875" style="16" bestFit="1" customWidth="1"/>
    <col min="60" max="60" width="9.85546875" style="16" bestFit="1" customWidth="1"/>
    <col min="61" max="61" width="2.7109375" style="16" bestFit="1" customWidth="1"/>
    <col min="62" max="62" width="8.7109375" style="16" bestFit="1" customWidth="1"/>
    <col min="63" max="63" width="2.7109375" style="16" bestFit="1" customWidth="1"/>
    <col min="64" max="64" width="11.85546875" style="16" bestFit="1" customWidth="1"/>
    <col min="65" max="65" width="2.7109375" style="16" bestFit="1" customWidth="1"/>
    <col min="66" max="66" width="10" style="16" bestFit="1" customWidth="1"/>
    <col min="67" max="67" width="2.7109375" style="16" bestFit="1" customWidth="1"/>
    <col min="68" max="68" width="6" style="16" bestFit="1" customWidth="1"/>
    <col min="69" max="69" width="2.7109375" style="16" bestFit="1" customWidth="1"/>
    <col min="70" max="70" width="6.42578125" style="16" bestFit="1" customWidth="1"/>
    <col min="71" max="71" width="2.7109375" style="16" bestFit="1" customWidth="1"/>
    <col min="72" max="72" width="7.140625" style="16" bestFit="1" customWidth="1"/>
    <col min="73" max="73" width="2.7109375" style="16" bestFit="1" customWidth="1"/>
    <col min="74" max="74" width="7.85546875" style="16" bestFit="1" customWidth="1"/>
    <col min="75" max="75" width="2.7109375" style="16" bestFit="1" customWidth="1"/>
    <col min="76" max="76" width="7.140625" style="60" bestFit="1" customWidth="1"/>
    <col min="77" max="77" width="2.7109375" style="60" bestFit="1" customWidth="1"/>
    <col min="78" max="78" width="3.85546875" style="60" bestFit="1" customWidth="1"/>
    <col min="79" max="79" width="2.7109375" style="60" bestFit="1" customWidth="1"/>
    <col min="80" max="80" width="10.140625" style="60" bestFit="1" customWidth="1"/>
    <col min="81" max="81" width="7.42578125" style="60" bestFit="1" customWidth="1"/>
    <col min="82" max="82" width="10.42578125" style="60" bestFit="1" customWidth="1"/>
    <col min="83" max="83" width="7.42578125" style="60" bestFit="1" customWidth="1"/>
    <col min="84" max="84" width="6" style="60" bestFit="1" customWidth="1"/>
    <col min="85" max="85" width="7.140625" style="60" bestFit="1" customWidth="1"/>
    <col min="86" max="86" width="4.5703125" style="60" bestFit="1" customWidth="1"/>
    <col min="87" max="87" width="5.42578125" style="60" bestFit="1" customWidth="1"/>
    <col min="88" max="88" width="7.140625" style="60" bestFit="1" customWidth="1"/>
    <col min="89" max="89" width="3.5703125" style="16" bestFit="1" customWidth="1"/>
    <col min="90" max="90" width="26" style="16" bestFit="1" customWidth="1"/>
    <col min="91" max="91" width="3.5703125" style="16" bestFit="1" customWidth="1"/>
    <col min="92" max="92" width="35.7109375" style="16" bestFit="1" customWidth="1"/>
    <col min="93" max="93" width="3.5703125" style="16" bestFit="1" customWidth="1"/>
    <col min="94" max="94" width="26" style="16" bestFit="1" customWidth="1"/>
    <col min="95" max="95" width="2.7109375" style="16" bestFit="1" customWidth="1"/>
    <col min="96" max="96" width="16.85546875" style="16" bestFit="1" customWidth="1"/>
    <col min="97" max="97" width="6.140625" style="16" bestFit="1" customWidth="1"/>
    <col min="98" max="98" width="26" style="16" bestFit="1" customWidth="1"/>
    <col min="99" max="99" width="6.28515625" style="16" bestFit="1" customWidth="1"/>
    <col min="100" max="100" width="26" style="16" bestFit="1" customWidth="1"/>
    <col min="101" max="101" width="6.28515625" style="16" bestFit="1" customWidth="1"/>
    <col min="102" max="102" width="26" style="16" bestFit="1" customWidth="1"/>
    <col min="103" max="103" width="19.42578125" style="16" bestFit="1" customWidth="1"/>
    <col min="104" max="104" width="26" style="16" customWidth="1"/>
    <col min="105" max="105" width="13.7109375" style="16" bestFit="1" customWidth="1"/>
    <col min="106" max="106" width="26" style="16" customWidth="1"/>
    <col min="107" max="107" width="13.7109375" style="16" bestFit="1" customWidth="1"/>
    <col min="108" max="108" width="26" style="16" customWidth="1"/>
    <col min="109" max="109" width="13.7109375" style="16" bestFit="1" customWidth="1"/>
    <col min="110" max="110" width="16.85546875" style="16" bestFit="1" customWidth="1"/>
    <col min="111" max="111" width="13.7109375" style="60" bestFit="1" customWidth="1"/>
    <col min="112" max="112" width="16.85546875" style="16" bestFit="1" customWidth="1"/>
    <col min="113" max="113" width="13.7109375" style="16" bestFit="1" customWidth="1"/>
    <col min="114" max="114" width="16.85546875" style="16" bestFit="1" customWidth="1"/>
    <col min="115" max="115" width="13.7109375" style="16" bestFit="1" customWidth="1"/>
    <col min="116" max="116" width="16.85546875" style="16" bestFit="1" customWidth="1"/>
    <col min="117" max="117" width="9.140625" style="16"/>
    <col min="118" max="118" width="3.5703125" style="16" bestFit="1" customWidth="1"/>
    <col min="119" max="119" width="11.85546875" style="16" bestFit="1" customWidth="1"/>
    <col min="120" max="120" width="11.85546875" style="197" bestFit="1" customWidth="1"/>
    <col min="121" max="121" width="16.85546875" style="16" bestFit="1" customWidth="1"/>
    <col min="122" max="122" width="3.5703125" style="16" bestFit="1" customWidth="1"/>
    <col min="123" max="123" width="18.28515625" style="16" bestFit="1" customWidth="1"/>
    <col min="124" max="124" width="8.85546875" style="16" bestFit="1" customWidth="1"/>
    <col min="125" max="126" width="1.85546875" style="16" bestFit="1" customWidth="1"/>
    <col min="127" max="127" width="9.85546875" style="16" bestFit="1" customWidth="1"/>
    <col min="128" max="128" width="10" style="16" bestFit="1" customWidth="1"/>
    <col min="129" max="129" width="2.7109375" style="16" bestFit="1" customWidth="1"/>
    <col min="130" max="130" width="1.85546875" style="16" bestFit="1" customWidth="1"/>
    <col min="131" max="131" width="1.85546875" bestFit="1" customWidth="1"/>
    <col min="132" max="132" width="11.85546875" bestFit="1" customWidth="1"/>
    <col min="133" max="133" width="8.85546875" bestFit="1" customWidth="1"/>
    <col min="134" max="134" width="1.85546875" bestFit="1" customWidth="1"/>
    <col min="135" max="135" width="8.85546875" style="16" bestFit="1" customWidth="1"/>
    <col min="136" max="16384" width="9.140625" style="16"/>
  </cols>
  <sheetData>
    <row r="1" spans="1:135" ht="33.75">
      <c r="A1" s="926" t="s">
        <v>629</v>
      </c>
      <c r="B1" s="926"/>
      <c r="C1" s="15"/>
      <c r="D1" s="11" t="s">
        <v>630</v>
      </c>
      <c r="E1" s="11" t="s">
        <v>633</v>
      </c>
      <c r="F1" s="11" t="s">
        <v>636</v>
      </c>
      <c r="G1" s="11" t="s">
        <v>631</v>
      </c>
      <c r="H1" s="11" t="s">
        <v>637</v>
      </c>
      <c r="I1" s="11" t="s">
        <v>248</v>
      </c>
      <c r="J1" s="12" t="s">
        <v>632</v>
      </c>
      <c r="L1" s="90" t="s">
        <v>640</v>
      </c>
      <c r="M1" s="91" t="s">
        <v>646</v>
      </c>
      <c r="N1" s="91" t="s">
        <v>651</v>
      </c>
      <c r="O1" s="91" t="s">
        <v>658</v>
      </c>
      <c r="P1" s="91" t="s">
        <v>661</v>
      </c>
      <c r="Q1" s="91" t="s">
        <v>664</v>
      </c>
      <c r="R1" s="91" t="s">
        <v>669</v>
      </c>
      <c r="S1" s="91" t="s">
        <v>672</v>
      </c>
      <c r="T1" s="91" t="s">
        <v>682</v>
      </c>
      <c r="U1" s="91" t="s">
        <v>686</v>
      </c>
      <c r="V1" s="91" t="s">
        <v>690</v>
      </c>
      <c r="W1" s="91" t="s">
        <v>691</v>
      </c>
      <c r="X1" s="91" t="s">
        <v>697</v>
      </c>
      <c r="Y1" s="91" t="s">
        <v>704</v>
      </c>
      <c r="Z1" s="91" t="s">
        <v>709</v>
      </c>
      <c r="AA1" s="91" t="s">
        <v>712</v>
      </c>
      <c r="AB1" s="91" t="s">
        <v>717</v>
      </c>
      <c r="AC1" s="91" t="s">
        <v>721</v>
      </c>
      <c r="AD1" s="92" t="s">
        <v>725</v>
      </c>
      <c r="AE1" s="5"/>
      <c r="AG1" s="17" t="s">
        <v>750</v>
      </c>
      <c r="AH1" s="18" t="s">
        <v>751</v>
      </c>
      <c r="AI1" s="18" t="s">
        <v>752</v>
      </c>
      <c r="AJ1" s="11" t="s">
        <v>969</v>
      </c>
      <c r="AK1" s="19">
        <f>SUM(AK2:AK226)</f>
        <v>0</v>
      </c>
      <c r="AL1" s="19">
        <f>SUM(AL2:AL226)</f>
        <v>0</v>
      </c>
      <c r="AM1" s="18" t="s">
        <v>986</v>
      </c>
      <c r="AN1" s="11">
        <v>0</v>
      </c>
      <c r="AO1" s="20" t="s">
        <v>805</v>
      </c>
      <c r="AP1" s="17" t="s">
        <v>640</v>
      </c>
      <c r="AQ1" s="20" t="s">
        <v>326</v>
      </c>
      <c r="AR1" s="143" t="s">
        <v>339</v>
      </c>
      <c r="AS1" s="20" t="s">
        <v>326</v>
      </c>
      <c r="AT1" s="17" t="s">
        <v>651</v>
      </c>
      <c r="AU1" s="20" t="s">
        <v>326</v>
      </c>
      <c r="AV1" s="17" t="s">
        <v>658</v>
      </c>
      <c r="AW1" s="20" t="s">
        <v>326</v>
      </c>
      <c r="AX1" s="17" t="s">
        <v>661</v>
      </c>
      <c r="AY1" s="20" t="s">
        <v>326</v>
      </c>
      <c r="AZ1" s="17" t="s">
        <v>664</v>
      </c>
      <c r="BA1" s="20" t="s">
        <v>326</v>
      </c>
      <c r="BB1" s="17" t="s">
        <v>669</v>
      </c>
      <c r="BC1" s="20" t="s">
        <v>326</v>
      </c>
      <c r="BD1" s="17" t="s">
        <v>672</v>
      </c>
      <c r="BE1" s="20" t="s">
        <v>326</v>
      </c>
      <c r="BF1" s="17" t="s">
        <v>682</v>
      </c>
      <c r="BG1" s="20" t="s">
        <v>326</v>
      </c>
      <c r="BH1" s="17" t="s">
        <v>686</v>
      </c>
      <c r="BI1" s="20" t="s">
        <v>326</v>
      </c>
      <c r="BJ1" s="17" t="s">
        <v>690</v>
      </c>
      <c r="BK1" s="20" t="s">
        <v>326</v>
      </c>
      <c r="BL1" s="17" t="s">
        <v>691</v>
      </c>
      <c r="BM1" s="20" t="s">
        <v>326</v>
      </c>
      <c r="BN1" s="17" t="s">
        <v>697</v>
      </c>
      <c r="BO1" s="20" t="s">
        <v>326</v>
      </c>
      <c r="BP1" s="17" t="s">
        <v>704</v>
      </c>
      <c r="BQ1" s="20" t="s">
        <v>326</v>
      </c>
      <c r="BR1" s="17" t="s">
        <v>709</v>
      </c>
      <c r="BS1" s="20" t="s">
        <v>326</v>
      </c>
      <c r="BT1" s="17" t="s">
        <v>712</v>
      </c>
      <c r="BU1" s="20" t="s">
        <v>326</v>
      </c>
      <c r="BV1" s="17" t="s">
        <v>717</v>
      </c>
      <c r="BW1" s="20" t="s">
        <v>326</v>
      </c>
      <c r="BX1" s="17" t="s">
        <v>721</v>
      </c>
      <c r="BY1" s="20" t="s">
        <v>326</v>
      </c>
      <c r="BZ1" s="17" t="s">
        <v>725</v>
      </c>
      <c r="CA1" s="20" t="s">
        <v>326</v>
      </c>
      <c r="CB1" s="137" t="s">
        <v>336</v>
      </c>
      <c r="CC1" s="137" t="s">
        <v>337</v>
      </c>
      <c r="CD1" s="122" t="s">
        <v>324</v>
      </c>
      <c r="CE1" s="137" t="s">
        <v>338</v>
      </c>
      <c r="CF1" s="122" t="s">
        <v>325</v>
      </c>
      <c r="CG1" s="122" t="s">
        <v>729</v>
      </c>
      <c r="CH1" s="122" t="s">
        <v>731</v>
      </c>
      <c r="CI1" s="122" t="s">
        <v>329</v>
      </c>
      <c r="CJ1" s="137" t="s">
        <v>456</v>
      </c>
      <c r="CK1" s="21" t="s">
        <v>170</v>
      </c>
      <c r="CL1" s="21">
        <f ca="1">COUNT(CK2:CK226)</f>
        <v>65</v>
      </c>
      <c r="CM1" s="21" t="s">
        <v>170</v>
      </c>
      <c r="CN1" s="21">
        <f ca="1">COUNT(CM2:CM226)</f>
        <v>65</v>
      </c>
      <c r="CO1" s="21" t="s">
        <v>170</v>
      </c>
      <c r="CP1" s="21">
        <f ca="1">COUNT(CO2:CO226)</f>
        <v>65</v>
      </c>
      <c r="CS1" s="21" t="s">
        <v>274</v>
      </c>
      <c r="CT1" s="21">
        <f ca="1">COUNT(CS2:CS226)</f>
        <v>64</v>
      </c>
      <c r="CU1" s="21" t="s">
        <v>275</v>
      </c>
      <c r="CV1" s="21">
        <f ca="1">COUNT(CU2:CU226)</f>
        <v>64</v>
      </c>
      <c r="CW1" s="21" t="s">
        <v>276</v>
      </c>
      <c r="CX1" s="21">
        <f ca="1">COUNT(CW2:CW226)</f>
        <v>64</v>
      </c>
      <c r="CY1" s="21" t="s">
        <v>487</v>
      </c>
      <c r="CZ1" s="21">
        <f ca="1">COUNT(CY2:CY226)</f>
        <v>64</v>
      </c>
      <c r="DA1" s="21" t="s">
        <v>488</v>
      </c>
      <c r="DB1" s="21">
        <f ca="1">COUNT(DA2:DA226)</f>
        <v>64</v>
      </c>
      <c r="DC1" s="21" t="s">
        <v>489</v>
      </c>
      <c r="DD1" s="21">
        <f ca="1">COUNT(DC2:DC226)</f>
        <v>64</v>
      </c>
      <c r="DE1" s="21" t="s">
        <v>256</v>
      </c>
      <c r="DG1" s="107" t="s">
        <v>318</v>
      </c>
      <c r="DH1" s="927" t="s">
        <v>319</v>
      </c>
      <c r="DI1" s="928"/>
      <c r="DJ1" s="929"/>
      <c r="DK1" s="105"/>
      <c r="DL1" s="105"/>
      <c r="DM1" s="105"/>
      <c r="DN1" s="930" t="s">
        <v>462</v>
      </c>
      <c r="DO1" s="931"/>
      <c r="DP1" s="931"/>
      <c r="DQ1" s="932"/>
      <c r="DR1" s="199">
        <f>COUNT(DR2:DR469)</f>
        <v>72</v>
      </c>
      <c r="DS1" s="198" t="str">
        <f>"Tables!"&amp;ADDRESS(ROW(DS2),COLUMN())&amp;":"&amp;ADDRESS(ROW()+DR1,COLUMN())</f>
        <v>Tables!$DS$2:$DS$73</v>
      </c>
      <c r="DT1" s="933" t="s">
        <v>463</v>
      </c>
      <c r="DU1" s="934"/>
      <c r="DV1" s="935"/>
      <c r="DW1" s="232" t="s">
        <v>464</v>
      </c>
      <c r="DX1" s="232" t="s">
        <v>473</v>
      </c>
      <c r="DY1" s="231"/>
      <c r="DZ1" s="231"/>
      <c r="EA1" s="25"/>
      <c r="EB1" s="60"/>
      <c r="EC1" s="16"/>
      <c r="ED1" s="16"/>
      <c r="EE1" s="232" t="s">
        <v>477</v>
      </c>
    </row>
    <row r="2" spans="1:135" ht="11.25">
      <c r="A2" s="22">
        <v>0</v>
      </c>
      <c r="B2" s="22">
        <v>9</v>
      </c>
      <c r="C2" s="23" t="s">
        <v>621</v>
      </c>
      <c r="D2" s="22">
        <v>120</v>
      </c>
      <c r="E2" s="22">
        <v>4</v>
      </c>
      <c r="F2" s="22">
        <v>40</v>
      </c>
      <c r="G2" s="22">
        <v>7</v>
      </c>
      <c r="H2" s="22">
        <v>3</v>
      </c>
      <c r="I2" s="22"/>
      <c r="J2" s="24"/>
      <c r="L2" s="93" t="s">
        <v>641</v>
      </c>
      <c r="M2" s="94" t="s">
        <v>647</v>
      </c>
      <c r="N2" s="94" t="s">
        <v>652</v>
      </c>
      <c r="O2" s="94" t="s">
        <v>659</v>
      </c>
      <c r="P2" s="94" t="s">
        <v>662</v>
      </c>
      <c r="Q2" s="94" t="s">
        <v>665</v>
      </c>
      <c r="R2" s="94" t="s">
        <v>670</v>
      </c>
      <c r="S2" s="94" t="s">
        <v>673</v>
      </c>
      <c r="T2" s="94" t="s">
        <v>683</v>
      </c>
      <c r="U2" s="94" t="s">
        <v>687</v>
      </c>
      <c r="V2" s="94" t="s">
        <v>971</v>
      </c>
      <c r="W2" s="94" t="s">
        <v>692</v>
      </c>
      <c r="X2" s="94" t="s">
        <v>698</v>
      </c>
      <c r="Y2" s="94" t="s">
        <v>705</v>
      </c>
      <c r="Z2" s="94" t="s">
        <v>710</v>
      </c>
      <c r="AA2" s="94" t="s">
        <v>713</v>
      </c>
      <c r="AB2" s="94" t="s">
        <v>718</v>
      </c>
      <c r="AC2" s="94" t="s">
        <v>722</v>
      </c>
      <c r="AD2" s="95" t="s">
        <v>726</v>
      </c>
      <c r="AE2" s="5"/>
      <c r="AG2" s="23" t="s">
        <v>835</v>
      </c>
      <c r="AH2" s="26" t="s">
        <v>880</v>
      </c>
      <c r="AI2" s="26" t="s">
        <v>884</v>
      </c>
      <c r="AJ2" s="22"/>
      <c r="AK2" s="22"/>
      <c r="AL2" s="22" t="str">
        <f t="shared" ref="AL2:AL33" si="0">IF(AH2="Heritage",COUNTIF(qualities,AG2),"")</f>
        <v/>
      </c>
      <c r="AM2" s="22">
        <f>N(marksmanship&gt;3)</f>
        <v>1</v>
      </c>
      <c r="AN2" s="22">
        <f>AN1+1</f>
        <v>1</v>
      </c>
      <c r="AO2" s="27" t="s">
        <v>947</v>
      </c>
      <c r="AP2" s="144"/>
      <c r="AQ2" s="145"/>
      <c r="AR2" s="144"/>
      <c r="AS2" s="145"/>
      <c r="AT2" s="144"/>
      <c r="AU2" s="145"/>
      <c r="AV2" s="144"/>
      <c r="AW2" s="145"/>
      <c r="AX2" s="144"/>
      <c r="AY2" s="145"/>
      <c r="AZ2" s="144"/>
      <c r="BA2" s="145"/>
      <c r="BB2" s="144"/>
      <c r="BC2" s="145"/>
      <c r="BD2" s="144"/>
      <c r="BE2" s="145"/>
      <c r="BF2" s="144"/>
      <c r="BG2" s="145"/>
      <c r="BH2" s="144"/>
      <c r="BI2" s="145"/>
      <c r="BJ2" s="144"/>
      <c r="BK2" s="145"/>
      <c r="BL2" s="144"/>
      <c r="BM2" s="145"/>
      <c r="BN2" s="144"/>
      <c r="BO2" s="145"/>
      <c r="BP2" s="144"/>
      <c r="BQ2" s="145"/>
      <c r="BR2" s="144"/>
      <c r="BS2" s="145"/>
      <c r="BT2" s="144"/>
      <c r="BU2" s="145"/>
      <c r="BV2" s="144"/>
      <c r="BW2" s="145"/>
      <c r="BX2" s="144"/>
      <c r="BY2" s="145"/>
      <c r="BZ2" s="144"/>
      <c r="CA2" s="145"/>
      <c r="CB2" s="123"/>
      <c r="CC2" s="123"/>
      <c r="CD2" s="123"/>
      <c r="CE2" s="123"/>
      <c r="CF2" s="123"/>
      <c r="CG2" s="123"/>
      <c r="CH2" s="123"/>
      <c r="CI2" s="123"/>
      <c r="CJ2" s="123"/>
      <c r="CK2" s="178">
        <f t="shared" ref="CK2:CK65" si="1">IF(OR(AM2=0,AND(COUNTIF($CL$148:$CL$153,AG2)&gt;0,AJ2&lt;&gt;"y")),"",AN2)</f>
        <v>1</v>
      </c>
      <c r="CL2" s="29" t="str">
        <f t="shared" ref="CL2:CL33" ca="1" si="2">IF(AN2&gt;$CL$1,"",INDEX($AG$2:$AG$226,SMALL($CK$2:$CK$226,AN2),1))</f>
        <v>Accurate</v>
      </c>
      <c r="CM2" s="28">
        <f>IF(OR($AM2=0,AND(COUNTIF(CN$148:CN$153,$AG2)&gt;0,$AJ2&lt;&gt;"y")),"",$AN2)</f>
        <v>1</v>
      </c>
      <c r="CN2" s="29" t="str">
        <f ca="1">IF($AN2&gt;CN$1,"",INDEX($AG$2:$AG$226,SMALL(CM$2:$CM$226,$AN2),1))</f>
        <v>Accurate</v>
      </c>
      <c r="CO2" s="28">
        <f>IF(OR($AM2=0,AND(COUNTIF(CP$148:CP$153,$AG2)&gt;0,$AJ2&lt;&gt;"y")),"",$AN2)</f>
        <v>1</v>
      </c>
      <c r="CP2" s="29" t="str">
        <f ca="1">IF($AN2&gt;CP$1,"",INDEX($AG$2:$AG$226,SMALL(CO$2:CO$226,$AN2),1))</f>
        <v>Accurate</v>
      </c>
      <c r="CS2" s="28">
        <f t="shared" ref="CS2:CU65" si="3">IF(OR($AM2=0,AND(COUNTIF(CT$148:CT$156,$AG2)&gt;0,$AJ2&lt;&gt;"y")),"",$AN2)</f>
        <v>1</v>
      </c>
      <c r="CT2" s="29" t="str">
        <f t="shared" ref="CT2:CT33" ca="1" si="4">IF($AN2&gt;CT$1,"",INDEX($AG$2:$AG$226,SMALL(CS$2:CS$226,$AN2),1))</f>
        <v>Accurate</v>
      </c>
      <c r="CU2" s="28">
        <f t="shared" si="3"/>
        <v>1</v>
      </c>
      <c r="CV2" s="29" t="str">
        <f t="shared" ref="CV2:CV33" ca="1" si="5">IF($AN2&gt;CV$1,"",INDEX($AG$2:$AG$226,SMALL(CU$2:CU$226,$AN2),1))</f>
        <v>Accurate</v>
      </c>
      <c r="CW2" s="28">
        <f t="shared" ref="CW2:CW65" si="6">IF(OR($AM2=0,AND(COUNTIF(CX$148:CX$156,$AG2)&gt;0,$AJ2&lt;&gt;"y")),"",$AN2)</f>
        <v>1</v>
      </c>
      <c r="CX2" s="29" t="str">
        <f t="shared" ref="CX2:CZ33" ca="1" si="7">IF($AN2&gt;CX$1,"",INDEX($AG$2:$AG$226,SMALL(CW$2:CW$226,$AN2),1))</f>
        <v>Accurate</v>
      </c>
      <c r="CY2" s="28">
        <f t="shared" ref="CY2:CY65" si="8">IF(OR($AM2=0,AND(COUNTIF(CZ$148:CZ$156,$AG2)&gt;0,$AJ2&lt;&gt;"y")),"",$AN2)</f>
        <v>1</v>
      </c>
      <c r="CZ2" s="29" t="str">
        <f t="shared" ca="1" si="7"/>
        <v>Accurate</v>
      </c>
      <c r="DA2" s="28">
        <f t="shared" ref="DA2:DA65" si="9">IF(OR($AM2=0,AND(COUNTIF(DB$148:DB$156,$AG2)&gt;0,$AJ2&lt;&gt;"y")),"",$AN2)</f>
        <v>1</v>
      </c>
      <c r="DB2" s="29" t="str">
        <f t="shared" ref="DB2:DB33" ca="1" si="10">IF($AN2&gt;DB$1,"",INDEX($AG$2:$AG$226,SMALL(DA$2:DA$226,$AN2),1))</f>
        <v>Accurate</v>
      </c>
      <c r="DC2" s="28">
        <f t="shared" ref="DC2:DC65" si="11">IF(OR($AM2=0,AND(COUNTIF(DD$148:DD$156,$AG2)&gt;0,$AJ2&lt;&gt;"y")),"",$AN2)</f>
        <v>1</v>
      </c>
      <c r="DD2" s="29" t="str">
        <f t="shared" ref="DD2:DD33" ca="1" si="12">IF($AN2&gt;DD$1,"",INDEX($AG$2:$AG$226,SMALL(DC$2:DC$226,$AN2),1))</f>
        <v>Accurate</v>
      </c>
      <c r="DE2" s="30"/>
      <c r="DG2" s="89" t="s">
        <v>262</v>
      </c>
      <c r="DH2" s="111" t="s">
        <v>274</v>
      </c>
      <c r="DI2" s="22" t="str">
        <f>CharGen!B46</f>
        <v>Flaw</v>
      </c>
      <c r="DJ2" s="24" t="str">
        <f>IF(DI2="",nonerange,IF(DI2="Benefit",CT147,CT326))</f>
        <v>Tables!$DE$2</v>
      </c>
      <c r="DN2" s="23">
        <v>1</v>
      </c>
      <c r="DO2" s="26" t="s">
        <v>640</v>
      </c>
      <c r="DP2" s="196" t="str">
        <f t="shared" ref="DP2:DP27" si="13">L2</f>
        <v>Acrobatics</v>
      </c>
      <c r="DQ2" s="195" t="str">
        <f>"("&amp;LEFT(DO2,4)&amp;") "&amp;DP2</f>
        <v>(Agil) Acrobatics</v>
      </c>
      <c r="DR2" s="28">
        <f>IF(DP2=0,"",DN2)</f>
        <v>1</v>
      </c>
      <c r="DS2" s="51" t="str">
        <f>IF(DN2&gt;$DR$1,"",INDEX($DQ$2:$DQ$469,SMALL($DR$2:$DR$469,DN2)))</f>
        <v>(Agil) Acrobatics</v>
      </c>
      <c r="DT2" s="233" t="str">
        <f>CharGen!N6</f>
        <v>Acrobatics</v>
      </c>
      <c r="DU2" s="234">
        <f>IF(DT2=0,0,CharGen!L6)</f>
        <v>2</v>
      </c>
      <c r="DV2" s="151">
        <f t="shared" ref="DV2:DV65" si="14">IF(DP2=0,0,SUMIF($DT$2:$DT$58,DP2,$DU$2:$DU$58))</f>
        <v>2</v>
      </c>
      <c r="DW2" s="242">
        <f>IF(COUNTIF('Char Sheet p1'!$AP$7:$AP$35,DQ2)=0,0,ROUNDDOWN(SUMIF('Char Sheet p1'!$AP$7:$AP$35,DQ2,'Char Sheet p1'!$AQ$7:$AQ$35)/10,0))</f>
        <v>0</v>
      </c>
      <c r="DX2" s="239">
        <f>DW2+DV2</f>
        <v>2</v>
      </c>
      <c r="DY2" s="28">
        <v>1</v>
      </c>
      <c r="DZ2" s="28">
        <f t="shared" ref="DZ2:DZ65" si="15">IF(DX2=0,"",IF(endchargen=0,"",DY2))</f>
        <v>1</v>
      </c>
      <c r="EA2" s="245">
        <v>1</v>
      </c>
      <c r="EB2" s="75" t="str">
        <f>DO2</f>
        <v>Agility</v>
      </c>
      <c r="EC2" s="246" t="str">
        <f>IF(EA2&gt;$EB$3,"",INDEX($DP$2:$DP$27,SMALL($DZ$2:$DZ$27,EA2),1))</f>
        <v>Acrobatics</v>
      </c>
      <c r="ED2" s="247">
        <f>IF(EC2="","",VLOOKUP(EC2,DP2:DX469,9,FALSE))</f>
        <v>2</v>
      </c>
      <c r="EE2" s="245">
        <f>'Char Sheet p1'!B6</f>
        <v>4</v>
      </c>
    </row>
    <row r="3" spans="1:135" ht="11.25">
      <c r="A3" s="31">
        <v>10</v>
      </c>
      <c r="B3" s="31">
        <v>13</v>
      </c>
      <c r="C3" s="32" t="s">
        <v>622</v>
      </c>
      <c r="D3" s="31">
        <v>150</v>
      </c>
      <c r="E3" s="31">
        <v>4</v>
      </c>
      <c r="F3" s="31">
        <v>40</v>
      </c>
      <c r="G3" s="31">
        <v>6</v>
      </c>
      <c r="H3" s="31">
        <v>3</v>
      </c>
      <c r="I3" s="31"/>
      <c r="J3" s="33"/>
      <c r="L3" s="93" t="s">
        <v>642</v>
      </c>
      <c r="M3" s="94" t="s">
        <v>648</v>
      </c>
      <c r="N3" s="94" t="s">
        <v>653</v>
      </c>
      <c r="O3" s="94" t="s">
        <v>660</v>
      </c>
      <c r="P3" s="94" t="s">
        <v>323</v>
      </c>
      <c r="Q3" s="94" t="s">
        <v>666</v>
      </c>
      <c r="R3" s="94" t="s">
        <v>671</v>
      </c>
      <c r="S3" s="94" t="s">
        <v>674</v>
      </c>
      <c r="T3" s="94" t="s">
        <v>684</v>
      </c>
      <c r="U3" s="94" t="s">
        <v>688</v>
      </c>
      <c r="V3" s="94" t="s">
        <v>972</v>
      </c>
      <c r="W3" s="94" t="s">
        <v>693</v>
      </c>
      <c r="X3" s="94" t="s">
        <v>647</v>
      </c>
      <c r="Y3" s="94" t="s">
        <v>706</v>
      </c>
      <c r="Z3" s="94" t="s">
        <v>711</v>
      </c>
      <c r="AA3" s="94" t="s">
        <v>714</v>
      </c>
      <c r="AB3" s="94" t="s">
        <v>719</v>
      </c>
      <c r="AC3" s="94" t="s">
        <v>723</v>
      </c>
      <c r="AD3" s="95" t="s">
        <v>727</v>
      </c>
      <c r="AE3" s="5"/>
      <c r="AG3" s="32" t="s">
        <v>836</v>
      </c>
      <c r="AH3" s="34" t="s">
        <v>880</v>
      </c>
      <c r="AI3" s="34" t="s">
        <v>885</v>
      </c>
      <c r="AJ3" s="31"/>
      <c r="AK3" s="31"/>
      <c r="AL3" s="31" t="str">
        <f t="shared" si="0"/>
        <v/>
      </c>
      <c r="AM3" s="31">
        <f ca="1">N(AND(agility&gt;3,SUMIF(agispec,"Acrobatics",agispecval)&gt;0))</f>
        <v>1</v>
      </c>
      <c r="AN3" s="31">
        <f>AN2+1</f>
        <v>2</v>
      </c>
      <c r="AO3" s="35" t="s">
        <v>948</v>
      </c>
      <c r="AP3" s="134"/>
      <c r="AQ3" s="47"/>
      <c r="AR3" s="134"/>
      <c r="AS3" s="47"/>
      <c r="AT3" s="134"/>
      <c r="AU3" s="47"/>
      <c r="AV3" s="134"/>
      <c r="AW3" s="47"/>
      <c r="AX3" s="134"/>
      <c r="AY3" s="47"/>
      <c r="AZ3" s="134"/>
      <c r="BA3" s="47"/>
      <c r="BB3" s="134"/>
      <c r="BC3" s="47"/>
      <c r="BD3" s="134"/>
      <c r="BE3" s="47"/>
      <c r="BF3" s="134"/>
      <c r="BG3" s="47"/>
      <c r="BH3" s="134"/>
      <c r="BI3" s="47"/>
      <c r="BJ3" s="134"/>
      <c r="BK3" s="47"/>
      <c r="BL3" s="134"/>
      <c r="BM3" s="47"/>
      <c r="BN3" s="134"/>
      <c r="BO3" s="47"/>
      <c r="BP3" s="134"/>
      <c r="BQ3" s="47"/>
      <c r="BR3" s="134"/>
      <c r="BS3" s="47"/>
      <c r="BT3" s="134"/>
      <c r="BU3" s="47"/>
      <c r="BV3" s="134"/>
      <c r="BW3" s="47"/>
      <c r="BX3" s="134"/>
      <c r="BY3" s="47"/>
      <c r="BZ3" s="134"/>
      <c r="CA3" s="47"/>
      <c r="CB3" s="120"/>
      <c r="CC3" s="120"/>
      <c r="CD3" s="120"/>
      <c r="CE3" s="120"/>
      <c r="CF3" s="120"/>
      <c r="CG3" s="120"/>
      <c r="CH3" s="120"/>
      <c r="CI3" s="120"/>
      <c r="CJ3" s="120"/>
      <c r="CK3" s="179">
        <f t="shared" ca="1" si="1"/>
        <v>2</v>
      </c>
      <c r="CL3" s="37" t="str">
        <f t="shared" ca="1" si="2"/>
        <v>Acrobatic Defence</v>
      </c>
      <c r="CM3" s="36" t="str">
        <f t="shared" ref="CM3:CM66" ca="1" si="16">IF(OR($AM3=0,AND(COUNTIF(CN$148:CN$153,$AG3)&gt;0,$AJ3&lt;&gt;"y")),"",$AN3)</f>
        <v/>
      </c>
      <c r="CN3" s="37" t="str">
        <f ca="1">IF($AN3&gt;CN$1,"",INDEX($AG$2:$AG$226,SMALL(CM$2:$CM$226,$AN3),1))</f>
        <v>Adept Negotiator</v>
      </c>
      <c r="CO3" s="36" t="str">
        <f t="shared" ref="CO3:CO66" ca="1" si="17">IF(OR($AM3=0,AND(COUNTIF(CP$148:CP$153,$AG3)&gt;0,$AJ3&lt;&gt;"y")),"",$AN3)</f>
        <v/>
      </c>
      <c r="CP3" s="37" t="str">
        <f t="shared" ref="CP3:CP66" ca="1" si="18">IF($AN3&gt;CP$1,"",INDEX($AG$2:$AG$226,SMALL(CO$2:CO$226,$AN3),1))</f>
        <v>Adept Negotiator</v>
      </c>
      <c r="CS3" s="28" t="str">
        <f t="shared" ca="1" si="3"/>
        <v/>
      </c>
      <c r="CT3" s="37" t="str">
        <f t="shared" ca="1" si="4"/>
        <v>Adept Negotiator</v>
      </c>
      <c r="CU3" s="28" t="str">
        <f t="shared" ca="1" si="3"/>
        <v/>
      </c>
      <c r="CV3" s="37" t="str">
        <f t="shared" ca="1" si="5"/>
        <v>Adept Negotiator</v>
      </c>
      <c r="CW3" s="28" t="str">
        <f t="shared" ca="1" si="6"/>
        <v/>
      </c>
      <c r="CX3" s="37" t="str">
        <f t="shared" ca="1" si="7"/>
        <v>Adept Negotiator</v>
      </c>
      <c r="CY3" s="28" t="str">
        <f t="shared" ca="1" si="8"/>
        <v/>
      </c>
      <c r="CZ3" s="37" t="str">
        <f t="shared" ca="1" si="7"/>
        <v>Adept Negotiator</v>
      </c>
      <c r="DA3" s="28" t="str">
        <f t="shared" ca="1" si="9"/>
        <v/>
      </c>
      <c r="DB3" s="37" t="str">
        <f t="shared" ca="1" si="10"/>
        <v>Adept Negotiator</v>
      </c>
      <c r="DC3" s="28" t="str">
        <f t="shared" ca="1" si="11"/>
        <v/>
      </c>
      <c r="DD3" s="37" t="str">
        <f t="shared" ca="1" si="12"/>
        <v>Adept Negotiator</v>
      </c>
      <c r="DE3" s="16" t="str">
        <f>"Tables!"&amp;ADDRESS(ROW(DE2),COLUMN())</f>
        <v>Tables!$DE$2</v>
      </c>
      <c r="DG3" s="106" t="s">
        <v>174</v>
      </c>
      <c r="DH3" s="108" t="s">
        <v>275</v>
      </c>
      <c r="DI3" s="31" t="str">
        <f>CharGen!B48</f>
        <v>Flaw</v>
      </c>
      <c r="DJ3" s="33" t="str">
        <f>IF(DI3="",nonerange,IF(DI3="Benefit",CV147,CV326))</f>
        <v>Tables!$DE$2</v>
      </c>
      <c r="DN3" s="32">
        <v>2</v>
      </c>
      <c r="DO3" s="34" t="s">
        <v>640</v>
      </c>
      <c r="DP3" s="38" t="str">
        <f t="shared" si="13"/>
        <v>Balance</v>
      </c>
      <c r="DQ3" s="173" t="str">
        <f t="shared" ref="DQ3:DQ66" si="19">"("&amp;LEFT(DO3,4)&amp;") "&amp;DP3</f>
        <v>(Agil) Balance</v>
      </c>
      <c r="DR3" s="36">
        <f t="shared" ref="DR3:DR66" si="20">IF(DP3=0,"",DN3)</f>
        <v>2</v>
      </c>
      <c r="DS3" s="37" t="str">
        <f t="shared" ref="DS3:DS66" si="21">IF(DN3&gt;$DR$1,"",INDEX($DQ$2:$DQ$469,SMALL($DR$2:$DR$469,DN3)))</f>
        <v>(Agil) Balance</v>
      </c>
      <c r="DT3" s="235">
        <f>CharGen!N7</f>
        <v>0</v>
      </c>
      <c r="DU3" s="236">
        <f>IF(DT3=0,0,CharGen!L7)</f>
        <v>0</v>
      </c>
      <c r="DV3" s="154">
        <f t="shared" si="14"/>
        <v>0</v>
      </c>
      <c r="DW3" s="243">
        <f>IF(COUNTIF('Char Sheet p1'!$AP$7:$AP$35,DQ3)=0,0,ROUNDDOWN(SUMIF('Char Sheet p1'!$AP$7:$AP$35,DQ3,'Char Sheet p1'!$AQ$7:$AQ$35)/10,0))</f>
        <v>1</v>
      </c>
      <c r="DX3" s="240">
        <f t="shared" ref="DX3:DX66" si="22">DW3+DV3</f>
        <v>1</v>
      </c>
      <c r="DY3" s="36">
        <v>2</v>
      </c>
      <c r="DZ3" s="36">
        <f t="shared" si="15"/>
        <v>2</v>
      </c>
      <c r="EA3" s="36">
        <v>2</v>
      </c>
      <c r="EB3" s="78">
        <f>COUNT(DZ2:DZ27)</f>
        <v>2</v>
      </c>
      <c r="EC3" s="32" t="str">
        <f>IF(EA3&gt;$EB$3,"",INDEX($DP$2:$DP$27,SMALL($DZ$2:$DZ$27,EA3),1))</f>
        <v>Balance</v>
      </c>
      <c r="ED3" s="39">
        <f t="shared" ref="ED3:ED55" si="23">IF(EC3="","",VLOOKUP(EC3,DP3:DX470,9,FALSE))</f>
        <v>1</v>
      </c>
      <c r="EE3" s="36">
        <f>EE2</f>
        <v>4</v>
      </c>
    </row>
    <row r="4" spans="1:135">
      <c r="A4" s="31">
        <v>14</v>
      </c>
      <c r="B4" s="31">
        <v>17</v>
      </c>
      <c r="C4" s="32" t="s">
        <v>623</v>
      </c>
      <c r="D4" s="31">
        <v>180</v>
      </c>
      <c r="E4" s="31">
        <v>5</v>
      </c>
      <c r="F4" s="31">
        <v>60</v>
      </c>
      <c r="G4" s="31">
        <v>5</v>
      </c>
      <c r="H4" s="31">
        <v>3</v>
      </c>
      <c r="I4" s="31"/>
      <c r="J4" s="33"/>
      <c r="L4" s="93" t="s">
        <v>643</v>
      </c>
      <c r="M4" s="94" t="s">
        <v>649</v>
      </c>
      <c r="N4" s="94" t="s">
        <v>654</v>
      </c>
      <c r="O4" s="94"/>
      <c r="P4" s="94" t="s">
        <v>663</v>
      </c>
      <c r="Q4" s="94" t="s">
        <v>667</v>
      </c>
      <c r="R4" s="94"/>
      <c r="S4" s="94" t="s">
        <v>675</v>
      </c>
      <c r="T4" s="94" t="s">
        <v>685</v>
      </c>
      <c r="U4" s="94" t="s">
        <v>689</v>
      </c>
      <c r="V4" s="94" t="s">
        <v>973</v>
      </c>
      <c r="W4" s="94" t="s">
        <v>694</v>
      </c>
      <c r="X4" s="94" t="s">
        <v>699</v>
      </c>
      <c r="Y4" s="94" t="s">
        <v>707</v>
      </c>
      <c r="Z4" s="94"/>
      <c r="AA4" s="94" t="s">
        <v>715</v>
      </c>
      <c r="AB4" s="94" t="s">
        <v>720</v>
      </c>
      <c r="AC4" s="94" t="s">
        <v>724</v>
      </c>
      <c r="AD4" s="95" t="s">
        <v>728</v>
      </c>
      <c r="AE4" s="5"/>
      <c r="AG4" s="32" t="s">
        <v>864</v>
      </c>
      <c r="AH4" s="34" t="s">
        <v>881</v>
      </c>
      <c r="AI4" s="34" t="s">
        <v>940</v>
      </c>
      <c r="AJ4" s="31"/>
      <c r="AK4" s="31"/>
      <c r="AL4" s="31" t="str">
        <f t="shared" si="0"/>
        <v/>
      </c>
      <c r="AM4" s="31">
        <f>N(deception&gt;2)</f>
        <v>1</v>
      </c>
      <c r="AN4" s="31">
        <f t="shared" ref="AN4:AN67" si="24">AN3+1</f>
        <v>3</v>
      </c>
      <c r="AO4" s="35" t="s">
        <v>987</v>
      </c>
      <c r="AP4" s="134"/>
      <c r="AQ4" s="47"/>
      <c r="AR4" s="134"/>
      <c r="AS4" s="47"/>
      <c r="AT4" s="134"/>
      <c r="AU4" s="47"/>
      <c r="AV4" s="134"/>
      <c r="AW4" s="47"/>
      <c r="AX4" s="134"/>
      <c r="AY4" s="47"/>
      <c r="AZ4" s="134"/>
      <c r="BA4" s="47"/>
      <c r="BB4" s="134"/>
      <c r="BC4" s="47"/>
      <c r="BD4" s="134"/>
      <c r="BE4" s="47"/>
      <c r="BF4" s="134"/>
      <c r="BG4" s="47"/>
      <c r="BH4" s="134"/>
      <c r="BI4" s="47"/>
      <c r="BJ4" s="134"/>
      <c r="BK4" s="47"/>
      <c r="BL4" s="134"/>
      <c r="BM4" s="47"/>
      <c r="BN4" s="134"/>
      <c r="BO4" s="47"/>
      <c r="BP4" s="134"/>
      <c r="BQ4" s="47"/>
      <c r="BR4" s="134"/>
      <c r="BS4" s="47"/>
      <c r="BT4" s="134"/>
      <c r="BU4" s="47"/>
      <c r="BV4" s="134"/>
      <c r="BW4" s="47"/>
      <c r="BX4" s="134"/>
      <c r="BY4" s="47"/>
      <c r="BZ4" s="134"/>
      <c r="CA4" s="47"/>
      <c r="CB4" s="120"/>
      <c r="CC4" s="120"/>
      <c r="CD4" s="120"/>
      <c r="CE4" s="120"/>
      <c r="CF4" s="120"/>
      <c r="CG4" s="120"/>
      <c r="CH4" s="120"/>
      <c r="CI4" s="120"/>
      <c r="CJ4" s="120"/>
      <c r="CK4" s="179">
        <f t="shared" si="1"/>
        <v>3</v>
      </c>
      <c r="CL4" s="37" t="str">
        <f t="shared" ca="1" si="2"/>
        <v>Adept Negotiator</v>
      </c>
      <c r="CM4" s="36">
        <f t="shared" si="16"/>
        <v>3</v>
      </c>
      <c r="CN4" s="37" t="str">
        <f ca="1">IF($AN4&gt;CN$1,"",INDEX($AG$2:$AG$226,SMALL(CM$2:$CM$226,$AN4),1))</f>
        <v>Armour Mastery</v>
      </c>
      <c r="CO4" s="36">
        <f t="shared" si="17"/>
        <v>3</v>
      </c>
      <c r="CP4" s="37" t="str">
        <f t="shared" ca="1" si="18"/>
        <v>Armour Mastery</v>
      </c>
      <c r="CS4" s="28">
        <f t="shared" si="3"/>
        <v>3</v>
      </c>
      <c r="CT4" s="37" t="str">
        <f t="shared" ca="1" si="4"/>
        <v>Armour Mastery</v>
      </c>
      <c r="CU4" s="28">
        <f t="shared" si="3"/>
        <v>3</v>
      </c>
      <c r="CV4" s="37" t="str">
        <f t="shared" ca="1" si="5"/>
        <v>Armour Mastery</v>
      </c>
      <c r="CW4" s="28">
        <f t="shared" si="6"/>
        <v>3</v>
      </c>
      <c r="CX4" s="37" t="str">
        <f t="shared" ca="1" si="7"/>
        <v>Armour Mastery</v>
      </c>
      <c r="CY4" s="28">
        <f t="shared" si="8"/>
        <v>3</v>
      </c>
      <c r="CZ4" s="37" t="str">
        <f t="shared" ca="1" si="7"/>
        <v>Armour Mastery</v>
      </c>
      <c r="DA4" s="28">
        <f t="shared" si="9"/>
        <v>3</v>
      </c>
      <c r="DB4" s="37" t="str">
        <f t="shared" ca="1" si="10"/>
        <v>Armour Mastery</v>
      </c>
      <c r="DC4" s="28">
        <f t="shared" si="11"/>
        <v>3</v>
      </c>
      <c r="DD4" s="37" t="str">
        <f t="shared" ca="1" si="12"/>
        <v>Armour Mastery</v>
      </c>
      <c r="DG4"/>
      <c r="DH4" s="109" t="s">
        <v>276</v>
      </c>
      <c r="DI4" s="40" t="str">
        <f>CharGen!B49</f>
        <v>Flaw</v>
      </c>
      <c r="DJ4" s="110" t="str">
        <f>IF(DI4="",nonerange,IF(DI4="Benefit",CX147,CX326))</f>
        <v>Tables!$DE$2</v>
      </c>
      <c r="DN4" s="32">
        <v>3</v>
      </c>
      <c r="DO4" s="34" t="s">
        <v>640</v>
      </c>
      <c r="DP4" s="38" t="str">
        <f t="shared" si="13"/>
        <v>Contortions</v>
      </c>
      <c r="DQ4" s="173" t="str">
        <f t="shared" si="19"/>
        <v>(Agil) Contortions</v>
      </c>
      <c r="DR4" s="36">
        <f t="shared" si="20"/>
        <v>3</v>
      </c>
      <c r="DS4" s="37" t="str">
        <f t="shared" si="21"/>
        <v>(Agil) Contortions</v>
      </c>
      <c r="DT4" s="235">
        <f>CharGen!N8</f>
        <v>0</v>
      </c>
      <c r="DU4" s="236">
        <f>IF(DT4=0,0,CharGen!L8)</f>
        <v>0</v>
      </c>
      <c r="DV4" s="154">
        <f t="shared" si="14"/>
        <v>0</v>
      </c>
      <c r="DW4" s="243">
        <f>IF(COUNTIF('Char Sheet p1'!$AP$7:$AP$35,DQ4)=0,0,ROUNDDOWN(SUMIF('Char Sheet p1'!$AP$7:$AP$35,DQ4,'Char Sheet p1'!$AQ$7:$AQ$35)/10,0))</f>
        <v>0</v>
      </c>
      <c r="DX4" s="240">
        <f t="shared" si="22"/>
        <v>0</v>
      </c>
      <c r="DY4" s="36">
        <v>3</v>
      </c>
      <c r="DZ4" s="36" t="str">
        <f t="shared" si="15"/>
        <v/>
      </c>
      <c r="EA4" s="55">
        <v>3</v>
      </c>
      <c r="EC4" s="41" t="str">
        <f>IF(EA4&gt;$EB$3,"",INDEX($DP$2:$DP$27,SMALL($DZ$2:$DZ$27,EA4),1))</f>
        <v/>
      </c>
      <c r="ED4" s="43" t="str">
        <f t="shared" si="23"/>
        <v/>
      </c>
      <c r="EE4" s="36">
        <f t="shared" ref="EE4:EE27" si="25">EE3</f>
        <v>4</v>
      </c>
    </row>
    <row r="5" spans="1:135">
      <c r="A5" s="31">
        <v>18</v>
      </c>
      <c r="B5" s="31">
        <v>29</v>
      </c>
      <c r="C5" s="32" t="s">
        <v>624</v>
      </c>
      <c r="D5" s="31">
        <v>210</v>
      </c>
      <c r="E5" s="31">
        <v>7</v>
      </c>
      <c r="F5" s="31">
        <v>80</v>
      </c>
      <c r="G5" s="31">
        <v>4</v>
      </c>
      <c r="H5" s="31">
        <v>3</v>
      </c>
      <c r="I5" s="38" t="s">
        <v>251</v>
      </c>
      <c r="J5" s="39">
        <v>1</v>
      </c>
      <c r="L5" s="93" t="s">
        <v>644</v>
      </c>
      <c r="M5" s="94" t="s">
        <v>650</v>
      </c>
      <c r="N5" s="94" t="s">
        <v>655</v>
      </c>
      <c r="O5" s="94"/>
      <c r="P5" s="94"/>
      <c r="Q5" s="94" t="s">
        <v>668</v>
      </c>
      <c r="R5" s="94"/>
      <c r="S5" s="94" t="s">
        <v>676</v>
      </c>
      <c r="T5" s="94"/>
      <c r="U5" s="94"/>
      <c r="V5" s="94" t="s">
        <v>974</v>
      </c>
      <c r="W5" s="94" t="s">
        <v>695</v>
      </c>
      <c r="X5" s="94" t="s">
        <v>700</v>
      </c>
      <c r="Y5" s="94" t="s">
        <v>708</v>
      </c>
      <c r="Z5" s="94"/>
      <c r="AA5" s="94" t="s">
        <v>716</v>
      </c>
      <c r="AB5" s="94"/>
      <c r="AC5" s="94"/>
      <c r="AD5" s="95"/>
      <c r="AE5" s="5"/>
      <c r="AG5" s="32" t="s">
        <v>774</v>
      </c>
      <c r="AH5" s="34" t="s">
        <v>789</v>
      </c>
      <c r="AI5" s="34" t="s">
        <v>815</v>
      </c>
      <c r="AJ5" s="31" t="s">
        <v>970</v>
      </c>
      <c r="AK5" s="31"/>
      <c r="AL5" s="31" t="str">
        <f t="shared" si="0"/>
        <v/>
      </c>
      <c r="AM5" s="31">
        <f ca="1">N(AND(animal&gt;2,SUMIF(anispec,"Train",anispecval)&gt;0))</f>
        <v>0</v>
      </c>
      <c r="AN5" s="31">
        <f t="shared" si="24"/>
        <v>4</v>
      </c>
      <c r="AO5" s="35" t="s">
        <v>0</v>
      </c>
      <c r="AP5" s="134"/>
      <c r="AQ5" s="47"/>
      <c r="AR5" s="134"/>
      <c r="AS5" s="47"/>
      <c r="AT5" s="134"/>
      <c r="AU5" s="47"/>
      <c r="AV5" s="134"/>
      <c r="AW5" s="47"/>
      <c r="AX5" s="134"/>
      <c r="AY5" s="47"/>
      <c r="AZ5" s="134"/>
      <c r="BA5" s="47"/>
      <c r="BB5" s="134"/>
      <c r="BC5" s="47"/>
      <c r="BD5" s="134"/>
      <c r="BE5" s="47"/>
      <c r="BF5" s="134"/>
      <c r="BG5" s="47"/>
      <c r="BH5" s="134"/>
      <c r="BI5" s="47"/>
      <c r="BJ5" s="134"/>
      <c r="BK5" s="47"/>
      <c r="BL5" s="134"/>
      <c r="BM5" s="47"/>
      <c r="BN5" s="134"/>
      <c r="BO5" s="47"/>
      <c r="BP5" s="134"/>
      <c r="BQ5" s="47"/>
      <c r="BR5" s="134"/>
      <c r="BS5" s="47"/>
      <c r="BT5" s="134"/>
      <c r="BU5" s="47"/>
      <c r="BV5" s="134"/>
      <c r="BW5" s="47"/>
      <c r="BX5" s="134"/>
      <c r="BY5" s="47"/>
      <c r="BZ5" s="134"/>
      <c r="CA5" s="47"/>
      <c r="CB5" s="120"/>
      <c r="CC5" s="120"/>
      <c r="CD5" s="120"/>
      <c r="CE5" s="120"/>
      <c r="CF5" s="120"/>
      <c r="CG5" s="120"/>
      <c r="CH5" s="120"/>
      <c r="CI5" s="120"/>
      <c r="CJ5" s="120"/>
      <c r="CK5" s="179" t="str">
        <f t="shared" ca="1" si="1"/>
        <v/>
      </c>
      <c r="CL5" s="37" t="str">
        <f t="shared" ca="1" si="2"/>
        <v>Armour Mastery</v>
      </c>
      <c r="CM5" s="36" t="str">
        <f t="shared" ca="1" si="16"/>
        <v/>
      </c>
      <c r="CN5" s="37" t="str">
        <f ca="1">IF($AN5&gt;CN$1,"",INDEX($AG$2:$AG$226,SMALL(CM$2:$CM$226,$AN5),1))</f>
        <v>Artist</v>
      </c>
      <c r="CO5" s="36" t="str">
        <f t="shared" ca="1" si="17"/>
        <v/>
      </c>
      <c r="CP5" s="37" t="str">
        <f t="shared" ca="1" si="18"/>
        <v>Artist</v>
      </c>
      <c r="CS5" s="28" t="str">
        <f t="shared" ca="1" si="3"/>
        <v/>
      </c>
      <c r="CT5" s="37" t="str">
        <f t="shared" ca="1" si="4"/>
        <v>Artist</v>
      </c>
      <c r="CU5" s="28" t="str">
        <f t="shared" ca="1" si="3"/>
        <v/>
      </c>
      <c r="CV5" s="37" t="str">
        <f t="shared" ca="1" si="5"/>
        <v>Artist</v>
      </c>
      <c r="CW5" s="28" t="str">
        <f t="shared" ca="1" si="6"/>
        <v/>
      </c>
      <c r="CX5" s="37" t="str">
        <f t="shared" ca="1" si="7"/>
        <v>Artist</v>
      </c>
      <c r="CY5" s="28" t="str">
        <f t="shared" ca="1" si="8"/>
        <v/>
      </c>
      <c r="CZ5" s="37" t="str">
        <f t="shared" ca="1" si="7"/>
        <v>Artist</v>
      </c>
      <c r="DA5" s="28" t="str">
        <f t="shared" ca="1" si="9"/>
        <v/>
      </c>
      <c r="DB5" s="37" t="str">
        <f t="shared" ca="1" si="10"/>
        <v>Artist</v>
      </c>
      <c r="DC5" s="28" t="str">
        <f t="shared" ca="1" si="11"/>
        <v/>
      </c>
      <c r="DD5" s="37" t="str">
        <f t="shared" ca="1" si="12"/>
        <v>Artist</v>
      </c>
      <c r="DG5"/>
      <c r="DN5" s="32">
        <v>4</v>
      </c>
      <c r="DO5" s="34" t="s">
        <v>640</v>
      </c>
      <c r="DP5" s="38" t="str">
        <f t="shared" si="13"/>
        <v>Dodge</v>
      </c>
      <c r="DQ5" s="173" t="str">
        <f t="shared" si="19"/>
        <v>(Agil) Dodge</v>
      </c>
      <c r="DR5" s="36">
        <f t="shared" si="20"/>
        <v>4</v>
      </c>
      <c r="DS5" s="37" t="str">
        <f t="shared" si="21"/>
        <v>(Agil) Dodge</v>
      </c>
      <c r="DT5" s="235">
        <f>CharGen!N9</f>
        <v>0</v>
      </c>
      <c r="DU5" s="236">
        <f>IF(DT5=0,0,CharGen!L9)</f>
        <v>0</v>
      </c>
      <c r="DV5" s="154">
        <f t="shared" si="14"/>
        <v>0</v>
      </c>
      <c r="DW5" s="243">
        <f>IF(COUNTIF('Char Sheet p1'!$AP$7:$AP$35,DQ5)=0,0,ROUNDDOWN(SUMIF('Char Sheet p1'!$AP$7:$AP$35,DQ5,'Char Sheet p1'!$AQ$7:$AQ$35)/10,0))</f>
        <v>0</v>
      </c>
      <c r="DX5" s="240">
        <f t="shared" si="22"/>
        <v>0</v>
      </c>
      <c r="DY5" s="36">
        <v>4</v>
      </c>
      <c r="DZ5" s="36" t="str">
        <f t="shared" si="15"/>
        <v/>
      </c>
      <c r="EA5" s="245">
        <v>1</v>
      </c>
      <c r="EB5" s="75" t="str">
        <f>DO28</f>
        <v>Animal Handling</v>
      </c>
      <c r="EC5" s="246" t="str">
        <f>IF(EA5&gt;$EB$6,"",INDEX($DP$28:$DP$53,SMALL($DZ$28:$DZ$53,EA5),1))</f>
        <v/>
      </c>
      <c r="ED5" s="247" t="str">
        <f t="shared" si="23"/>
        <v/>
      </c>
      <c r="EE5" s="36">
        <f t="shared" si="25"/>
        <v>4</v>
      </c>
    </row>
    <row r="6" spans="1:135">
      <c r="A6" s="31">
        <v>30</v>
      </c>
      <c r="B6" s="31">
        <v>49</v>
      </c>
      <c r="C6" s="32" t="s">
        <v>625</v>
      </c>
      <c r="D6" s="31">
        <v>240</v>
      </c>
      <c r="E6" s="31">
        <v>6</v>
      </c>
      <c r="F6" s="31">
        <v>100</v>
      </c>
      <c r="G6" s="31">
        <v>3</v>
      </c>
      <c r="H6" s="31">
        <v>3</v>
      </c>
      <c r="I6" s="38" t="s">
        <v>252</v>
      </c>
      <c r="J6" s="39">
        <v>1</v>
      </c>
      <c r="L6" s="93" t="s">
        <v>645</v>
      </c>
      <c r="M6" s="94"/>
      <c r="N6" s="94" t="s">
        <v>656</v>
      </c>
      <c r="O6" s="94"/>
      <c r="P6" s="94"/>
      <c r="Q6" s="94"/>
      <c r="R6" s="94"/>
      <c r="S6" s="94" t="s">
        <v>677</v>
      </c>
      <c r="T6" s="94"/>
      <c r="U6" s="94"/>
      <c r="V6" s="94" t="s">
        <v>975</v>
      </c>
      <c r="W6" s="94" t="s">
        <v>696</v>
      </c>
      <c r="X6" s="94" t="s">
        <v>701</v>
      </c>
      <c r="Y6" s="94"/>
      <c r="Z6" s="94"/>
      <c r="AA6" s="94"/>
      <c r="AB6" s="94"/>
      <c r="AC6" s="94"/>
      <c r="AD6" s="95"/>
      <c r="AE6" s="5"/>
      <c r="AG6" s="32" t="s">
        <v>837</v>
      </c>
      <c r="AH6" s="34" t="s">
        <v>880</v>
      </c>
      <c r="AI6" s="34" t="s">
        <v>818</v>
      </c>
      <c r="AJ6" s="31"/>
      <c r="AK6" s="31"/>
      <c r="AL6" s="31" t="str">
        <f t="shared" si="0"/>
        <v/>
      </c>
      <c r="AM6" s="31">
        <f>COUNTIF(qualities,"Sponsor")</f>
        <v>0</v>
      </c>
      <c r="AN6" s="31">
        <f t="shared" si="24"/>
        <v>5</v>
      </c>
      <c r="AO6" s="35" t="s">
        <v>2</v>
      </c>
      <c r="AP6" s="134"/>
      <c r="AQ6" s="47"/>
      <c r="AR6" s="134"/>
      <c r="AS6" s="47"/>
      <c r="AT6" s="134"/>
      <c r="AU6" s="47"/>
      <c r="AV6" s="134"/>
      <c r="AW6" s="47"/>
      <c r="AX6" s="134"/>
      <c r="AY6" s="47"/>
      <c r="AZ6" s="134"/>
      <c r="BA6" s="47"/>
      <c r="BB6" s="134"/>
      <c r="BC6" s="47"/>
      <c r="BD6" s="134"/>
      <c r="BE6" s="47"/>
      <c r="BF6" s="134"/>
      <c r="BG6" s="47"/>
      <c r="BH6" s="134"/>
      <c r="BI6" s="47"/>
      <c r="BJ6" s="134"/>
      <c r="BK6" s="47"/>
      <c r="BL6" s="134"/>
      <c r="BM6" s="47"/>
      <c r="BN6" s="134"/>
      <c r="BO6" s="47"/>
      <c r="BP6" s="134"/>
      <c r="BQ6" s="47">
        <v>2</v>
      </c>
      <c r="BR6" s="134"/>
      <c r="BS6" s="47"/>
      <c r="BT6" s="134"/>
      <c r="BU6" s="47"/>
      <c r="BV6" s="134"/>
      <c r="BW6" s="47"/>
      <c r="BX6" s="134"/>
      <c r="BY6" s="47"/>
      <c r="BZ6" s="134"/>
      <c r="CA6" s="47"/>
      <c r="CB6" s="120"/>
      <c r="CC6" s="120"/>
      <c r="CD6" s="120"/>
      <c r="CE6" s="120"/>
      <c r="CF6" s="120"/>
      <c r="CG6" s="120"/>
      <c r="CH6" s="120"/>
      <c r="CI6" s="120"/>
      <c r="CJ6" s="120"/>
      <c r="CK6" s="179" t="str">
        <f t="shared" si="1"/>
        <v/>
      </c>
      <c r="CL6" s="37" t="str">
        <f t="shared" ca="1" si="2"/>
        <v>Artist</v>
      </c>
      <c r="CM6" s="36" t="str">
        <f t="shared" si="16"/>
        <v/>
      </c>
      <c r="CN6" s="37" t="str">
        <f ca="1">IF($AN6&gt;CN$1,"",INDEX($AG$2:$AG$226,SMALL(CM$2:$CM$226,$AN6),1))</f>
        <v>Attractive</v>
      </c>
      <c r="CO6" s="36" t="str">
        <f t="shared" si="17"/>
        <v/>
      </c>
      <c r="CP6" s="37" t="str">
        <f t="shared" ca="1" si="18"/>
        <v>Attractive</v>
      </c>
      <c r="CS6" s="28" t="str">
        <f t="shared" si="3"/>
        <v/>
      </c>
      <c r="CT6" s="37" t="str">
        <f t="shared" ca="1" si="4"/>
        <v>Attractive</v>
      </c>
      <c r="CU6" s="28" t="str">
        <f t="shared" si="3"/>
        <v/>
      </c>
      <c r="CV6" s="37" t="str">
        <f t="shared" ca="1" si="5"/>
        <v>Attractive</v>
      </c>
      <c r="CW6" s="28" t="str">
        <f t="shared" si="6"/>
        <v/>
      </c>
      <c r="CX6" s="37" t="str">
        <f t="shared" ca="1" si="7"/>
        <v>Attractive</v>
      </c>
      <c r="CY6" s="28" t="str">
        <f t="shared" si="8"/>
        <v/>
      </c>
      <c r="CZ6" s="37" t="str">
        <f t="shared" ca="1" si="7"/>
        <v>Attractive</v>
      </c>
      <c r="DA6" s="28" t="str">
        <f t="shared" si="9"/>
        <v/>
      </c>
      <c r="DB6" s="37" t="str">
        <f t="shared" ca="1" si="10"/>
        <v>Attractive</v>
      </c>
      <c r="DC6" s="28" t="str">
        <f t="shared" si="11"/>
        <v/>
      </c>
      <c r="DD6" s="37" t="str">
        <f t="shared" ca="1" si="12"/>
        <v>Attractive</v>
      </c>
      <c r="DG6"/>
      <c r="DN6" s="32">
        <v>5</v>
      </c>
      <c r="DO6" s="34" t="s">
        <v>640</v>
      </c>
      <c r="DP6" s="38" t="str">
        <f t="shared" si="13"/>
        <v>Quickness</v>
      </c>
      <c r="DQ6" s="173" t="str">
        <f t="shared" si="19"/>
        <v>(Agil) Quickness</v>
      </c>
      <c r="DR6" s="36">
        <f t="shared" si="20"/>
        <v>5</v>
      </c>
      <c r="DS6" s="37" t="str">
        <f t="shared" si="21"/>
        <v>(Agil) Quickness</v>
      </c>
      <c r="DT6" s="235">
        <f>CharGen!N10</f>
        <v>0</v>
      </c>
      <c r="DU6" s="236">
        <f>IF(DT6=0,0,CharGen!L10)</f>
        <v>0</v>
      </c>
      <c r="DV6" s="154">
        <f t="shared" si="14"/>
        <v>0</v>
      </c>
      <c r="DW6" s="243">
        <f>IF(COUNTIF('Char Sheet p1'!$AP$7:$AP$35,DQ6)=0,0,ROUNDDOWN(SUMIF('Char Sheet p1'!$AP$7:$AP$35,DQ6,'Char Sheet p1'!$AQ$7:$AQ$35)/10,0))</f>
        <v>0</v>
      </c>
      <c r="DX6" s="240">
        <f t="shared" si="22"/>
        <v>0</v>
      </c>
      <c r="DY6" s="36">
        <f>DY5+1</f>
        <v>5</v>
      </c>
      <c r="DZ6" s="36" t="str">
        <f t="shared" si="15"/>
        <v/>
      </c>
      <c r="EA6" s="36">
        <v>2</v>
      </c>
      <c r="EB6" s="78">
        <f>COUNT(DZ28:DZ53)</f>
        <v>0</v>
      </c>
      <c r="EC6" s="32" t="str">
        <f>IF(EA6&gt;$EB$6,"",INDEX($DP$28:$DP$53,SMALL($DZ$28:$DZ$53,EA6),1))</f>
        <v/>
      </c>
      <c r="ED6" s="39" t="str">
        <f t="shared" si="23"/>
        <v/>
      </c>
      <c r="EE6" s="36">
        <f t="shared" si="25"/>
        <v>4</v>
      </c>
    </row>
    <row r="7" spans="1:135">
      <c r="A7" s="31">
        <v>50</v>
      </c>
      <c r="B7" s="31">
        <v>69</v>
      </c>
      <c r="C7" s="32" t="s">
        <v>626</v>
      </c>
      <c r="D7" s="31">
        <v>270</v>
      </c>
      <c r="E7" s="31">
        <v>5</v>
      </c>
      <c r="F7" s="31">
        <v>160</v>
      </c>
      <c r="G7" s="31">
        <v>2</v>
      </c>
      <c r="H7" s="31">
        <v>2</v>
      </c>
      <c r="I7" s="38" t="s">
        <v>253</v>
      </c>
      <c r="J7" s="39">
        <v>2</v>
      </c>
      <c r="L7" s="93"/>
      <c r="M7" s="94"/>
      <c r="N7" s="94" t="s">
        <v>657</v>
      </c>
      <c r="O7" s="94"/>
      <c r="P7" s="94"/>
      <c r="Q7" s="94"/>
      <c r="R7" s="94"/>
      <c r="S7" s="94" t="s">
        <v>678</v>
      </c>
      <c r="T7" s="94"/>
      <c r="U7" s="94"/>
      <c r="V7" s="94" t="s">
        <v>976</v>
      </c>
      <c r="W7" s="94"/>
      <c r="X7" s="94" t="s">
        <v>702</v>
      </c>
      <c r="Y7" s="94"/>
      <c r="Z7" s="94"/>
      <c r="AA7" s="94"/>
      <c r="AB7" s="94"/>
      <c r="AC7" s="94"/>
      <c r="AD7" s="95"/>
      <c r="AE7" s="5"/>
      <c r="AG7" s="32" t="s">
        <v>838</v>
      </c>
      <c r="AH7" s="34" t="s">
        <v>880</v>
      </c>
      <c r="AI7" s="34"/>
      <c r="AJ7" s="31"/>
      <c r="AK7" s="31"/>
      <c r="AL7" s="31" t="str">
        <f t="shared" si="0"/>
        <v/>
      </c>
      <c r="AM7" s="31">
        <v>1</v>
      </c>
      <c r="AN7" s="31">
        <f t="shared" si="24"/>
        <v>6</v>
      </c>
      <c r="AO7" s="35" t="s">
        <v>949</v>
      </c>
      <c r="AP7" s="134"/>
      <c r="AQ7" s="47"/>
      <c r="AR7" s="134"/>
      <c r="AS7" s="47"/>
      <c r="AT7" s="134"/>
      <c r="AU7" s="47"/>
      <c r="AV7" s="134"/>
      <c r="AW7" s="47"/>
      <c r="AX7" s="134"/>
      <c r="AY7" s="47"/>
      <c r="AZ7" s="134"/>
      <c r="BA7" s="47"/>
      <c r="BB7" s="134"/>
      <c r="BC7" s="47"/>
      <c r="BD7" s="134"/>
      <c r="BE7" s="47"/>
      <c r="BF7" s="134"/>
      <c r="BG7" s="47"/>
      <c r="BH7" s="134"/>
      <c r="BI7" s="47"/>
      <c r="BJ7" s="134"/>
      <c r="BK7" s="47"/>
      <c r="BL7" s="134"/>
      <c r="BM7" s="47"/>
      <c r="BN7" s="134"/>
      <c r="BO7" s="47"/>
      <c r="BP7" s="134"/>
      <c r="BQ7" s="47"/>
      <c r="BR7" s="134"/>
      <c r="BS7" s="47"/>
      <c r="BT7" s="134"/>
      <c r="BU7" s="47"/>
      <c r="BV7" s="134"/>
      <c r="BW7" s="47"/>
      <c r="BX7" s="134"/>
      <c r="BY7" s="47"/>
      <c r="BZ7" s="134"/>
      <c r="CA7" s="47"/>
      <c r="CB7" s="120"/>
      <c r="CC7" s="120"/>
      <c r="CD7" s="120"/>
      <c r="CE7" s="120"/>
      <c r="CF7" s="120"/>
      <c r="CG7" s="120">
        <v>1</v>
      </c>
      <c r="CH7" s="120">
        <v>-1</v>
      </c>
      <c r="CI7" s="120"/>
      <c r="CJ7" s="120"/>
      <c r="CK7" s="179">
        <f t="shared" si="1"/>
        <v>6</v>
      </c>
      <c r="CL7" s="37" t="str">
        <f t="shared" ca="1" si="2"/>
        <v>Attractive</v>
      </c>
      <c r="CM7" s="36">
        <f t="shared" si="16"/>
        <v>6</v>
      </c>
      <c r="CN7" s="37" t="str">
        <f ca="1">IF($AN7&gt;CN$1,"",INDEX($AG$2:$AG$226,SMALL(CM$2:$CM$226,$AN7),1))</f>
        <v>Authority</v>
      </c>
      <c r="CO7" s="36">
        <f t="shared" si="17"/>
        <v>6</v>
      </c>
      <c r="CP7" s="37" t="str">
        <f t="shared" ca="1" si="18"/>
        <v>Authority</v>
      </c>
      <c r="CS7" s="28">
        <f t="shared" si="3"/>
        <v>6</v>
      </c>
      <c r="CT7" s="37" t="str">
        <f t="shared" ca="1" si="4"/>
        <v>Authority</v>
      </c>
      <c r="CU7" s="28">
        <f t="shared" si="3"/>
        <v>6</v>
      </c>
      <c r="CV7" s="37" t="str">
        <f t="shared" ca="1" si="5"/>
        <v>Authority</v>
      </c>
      <c r="CW7" s="28">
        <f t="shared" si="6"/>
        <v>6</v>
      </c>
      <c r="CX7" s="37" t="str">
        <f t="shared" ca="1" si="7"/>
        <v>Authority</v>
      </c>
      <c r="CY7" s="28">
        <f t="shared" si="8"/>
        <v>6</v>
      </c>
      <c r="CZ7" s="37" t="str">
        <f t="shared" ca="1" si="7"/>
        <v>Authority</v>
      </c>
      <c r="DA7" s="28">
        <f t="shared" si="9"/>
        <v>6</v>
      </c>
      <c r="DB7" s="37" t="str">
        <f t="shared" ca="1" si="10"/>
        <v>Authority</v>
      </c>
      <c r="DC7" s="28">
        <f t="shared" si="11"/>
        <v>6</v>
      </c>
      <c r="DD7" s="37" t="str">
        <f t="shared" ca="1" si="12"/>
        <v>Authority</v>
      </c>
      <c r="DG7"/>
      <c r="DN7" s="32">
        <v>6</v>
      </c>
      <c r="DO7" s="34" t="s">
        <v>640</v>
      </c>
      <c r="DP7" s="38">
        <f t="shared" si="13"/>
        <v>0</v>
      </c>
      <c r="DQ7" s="173" t="str">
        <f t="shared" si="19"/>
        <v>(Agil) 0</v>
      </c>
      <c r="DR7" s="36" t="str">
        <f t="shared" si="20"/>
        <v/>
      </c>
      <c r="DS7" s="37" t="str">
        <f t="shared" si="21"/>
        <v>(Anim) Charm</v>
      </c>
      <c r="DT7" s="235">
        <f>CharGen!N11</f>
        <v>0</v>
      </c>
      <c r="DU7" s="236">
        <f>IF(DT7=0,0,CharGen!L11)</f>
        <v>0</v>
      </c>
      <c r="DV7" s="154">
        <f t="shared" si="14"/>
        <v>0</v>
      </c>
      <c r="DW7" s="243">
        <f>IF(COUNTIF('Char Sheet p1'!$AP$7:$AP$35,DQ7)=0,0,ROUNDDOWN(SUMIF('Char Sheet p1'!$AP$7:$AP$35,DQ7,'Char Sheet p1'!$AQ$7:$AQ$35)/10,0))</f>
        <v>0</v>
      </c>
      <c r="DX7" s="240">
        <f t="shared" si="22"/>
        <v>0</v>
      </c>
      <c r="DY7" s="36">
        <f t="shared" ref="DY7:DY27" si="26">DY6+1</f>
        <v>6</v>
      </c>
      <c r="DZ7" s="36" t="str">
        <f t="shared" si="15"/>
        <v/>
      </c>
      <c r="EA7" s="55">
        <v>3</v>
      </c>
      <c r="EC7" s="41" t="str">
        <f>IF(EA7&gt;$EB$6,"",INDEX($DP$28:$DP$53,SMALL($DZ$28:$DZ$53,EA7),1))</f>
        <v/>
      </c>
      <c r="ED7" s="43" t="str">
        <f t="shared" si="23"/>
        <v/>
      </c>
      <c r="EE7" s="36">
        <f t="shared" si="25"/>
        <v>4</v>
      </c>
    </row>
    <row r="8" spans="1:135" ht="11.25">
      <c r="A8" s="31">
        <v>70</v>
      </c>
      <c r="B8" s="31">
        <v>79</v>
      </c>
      <c r="C8" s="32" t="s">
        <v>627</v>
      </c>
      <c r="D8" s="31">
        <v>330</v>
      </c>
      <c r="E8" s="31">
        <v>5</v>
      </c>
      <c r="F8" s="31">
        <v>200</v>
      </c>
      <c r="G8" s="31">
        <v>1</v>
      </c>
      <c r="H8" s="31">
        <v>1</v>
      </c>
      <c r="I8" s="38" t="s">
        <v>254</v>
      </c>
      <c r="J8" s="39">
        <v>3</v>
      </c>
      <c r="L8" s="93"/>
      <c r="M8" s="94"/>
      <c r="N8" s="94"/>
      <c r="O8" s="94"/>
      <c r="P8" s="94"/>
      <c r="Q8" s="94"/>
      <c r="R8" s="94"/>
      <c r="S8" s="94" t="s">
        <v>679</v>
      </c>
      <c r="T8" s="94"/>
      <c r="U8" s="94"/>
      <c r="V8" s="94" t="s">
        <v>977</v>
      </c>
      <c r="W8" s="94"/>
      <c r="X8" s="94" t="s">
        <v>703</v>
      </c>
      <c r="Y8" s="94"/>
      <c r="Z8" s="94"/>
      <c r="AA8" s="94"/>
      <c r="AB8" s="94"/>
      <c r="AC8" s="94"/>
      <c r="AD8" s="95"/>
      <c r="AE8" s="5"/>
      <c r="AG8" s="32" t="s">
        <v>580</v>
      </c>
      <c r="AH8" s="34" t="s">
        <v>773</v>
      </c>
      <c r="AI8" s="34"/>
      <c r="AJ8" s="31"/>
      <c r="AK8" s="31"/>
      <c r="AL8" s="31" t="str">
        <f t="shared" si="0"/>
        <v/>
      </c>
      <c r="AM8" s="31">
        <v>1</v>
      </c>
      <c r="AN8" s="31">
        <f t="shared" si="24"/>
        <v>7</v>
      </c>
      <c r="AO8" s="35" t="s">
        <v>3</v>
      </c>
      <c r="AP8" s="134"/>
      <c r="AQ8" s="47"/>
      <c r="AR8" s="134"/>
      <c r="AS8" s="47"/>
      <c r="AT8" s="134"/>
      <c r="AU8" s="47"/>
      <c r="AV8" s="134"/>
      <c r="AW8" s="47"/>
      <c r="AX8" s="134"/>
      <c r="AY8" s="47"/>
      <c r="AZ8" s="134"/>
      <c r="BA8" s="47"/>
      <c r="BB8" s="134"/>
      <c r="BC8" s="47"/>
      <c r="BD8" s="134"/>
      <c r="BE8" s="47"/>
      <c r="BF8" s="134"/>
      <c r="BG8" s="47"/>
      <c r="BH8" s="134"/>
      <c r="BI8" s="47"/>
      <c r="BJ8" s="134"/>
      <c r="BK8" s="47"/>
      <c r="BL8" s="134"/>
      <c r="BM8" s="47"/>
      <c r="BN8" s="134"/>
      <c r="BO8" s="47"/>
      <c r="BP8" s="134"/>
      <c r="BQ8" s="47"/>
      <c r="BR8" s="134"/>
      <c r="BS8" s="47"/>
      <c r="BT8" s="134"/>
      <c r="BU8" s="47"/>
      <c r="BV8" s="134"/>
      <c r="BW8" s="47"/>
      <c r="BX8" s="134"/>
      <c r="BY8" s="47"/>
      <c r="BZ8" s="134"/>
      <c r="CA8" s="47"/>
      <c r="CB8" s="120"/>
      <c r="CC8" s="120"/>
      <c r="CD8" s="120"/>
      <c r="CE8" s="120"/>
      <c r="CF8" s="120"/>
      <c r="CG8" s="120"/>
      <c r="CH8" s="120"/>
      <c r="CI8" s="120"/>
      <c r="CJ8" s="120"/>
      <c r="CK8" s="179">
        <f t="shared" si="1"/>
        <v>7</v>
      </c>
      <c r="CL8" s="37" t="str">
        <f t="shared" ca="1" si="2"/>
        <v>Authority</v>
      </c>
      <c r="CM8" s="36">
        <f t="shared" si="16"/>
        <v>7</v>
      </c>
      <c r="CN8" s="37" t="str">
        <f ca="1">IF($AN8&gt;CN$1,"",INDEX($AG$2:$AG$226,SMALL(CM$2:$CM$226,$AN8),1))</f>
        <v>Beastfriend</v>
      </c>
      <c r="CO8" s="36">
        <f t="shared" si="17"/>
        <v>7</v>
      </c>
      <c r="CP8" s="37" t="str">
        <f t="shared" ca="1" si="18"/>
        <v>Beastfriend</v>
      </c>
      <c r="CS8" s="28">
        <f t="shared" si="3"/>
        <v>7</v>
      </c>
      <c r="CT8" s="37" t="str">
        <f t="shared" ca="1" si="4"/>
        <v>Beastfriend</v>
      </c>
      <c r="CU8" s="28">
        <f t="shared" si="3"/>
        <v>7</v>
      </c>
      <c r="CV8" s="37" t="str">
        <f t="shared" ca="1" si="5"/>
        <v>Beastfriend</v>
      </c>
      <c r="CW8" s="28">
        <f t="shared" si="6"/>
        <v>7</v>
      </c>
      <c r="CX8" s="37" t="str">
        <f t="shared" ca="1" si="7"/>
        <v>Beastfriend</v>
      </c>
      <c r="CY8" s="28">
        <f t="shared" si="8"/>
        <v>7</v>
      </c>
      <c r="CZ8" s="37" t="str">
        <f t="shared" ca="1" si="7"/>
        <v>Beastfriend</v>
      </c>
      <c r="DA8" s="28">
        <f t="shared" si="9"/>
        <v>7</v>
      </c>
      <c r="DB8" s="37" t="str">
        <f t="shared" ca="1" si="10"/>
        <v>Beastfriend</v>
      </c>
      <c r="DC8" s="28">
        <f t="shared" si="11"/>
        <v>7</v>
      </c>
      <c r="DD8" s="37" t="str">
        <f t="shared" ca="1" si="12"/>
        <v>Beastfriend</v>
      </c>
      <c r="DN8" s="32">
        <v>7</v>
      </c>
      <c r="DO8" s="34" t="s">
        <v>640</v>
      </c>
      <c r="DP8" s="38">
        <f t="shared" si="13"/>
        <v>0</v>
      </c>
      <c r="DQ8" s="173" t="str">
        <f t="shared" si="19"/>
        <v>(Agil) 0</v>
      </c>
      <c r="DR8" s="36" t="str">
        <f t="shared" si="20"/>
        <v/>
      </c>
      <c r="DS8" s="37" t="str">
        <f t="shared" si="21"/>
        <v>(Anim) Drive</v>
      </c>
      <c r="DT8" s="235">
        <f>CharGen!N12</f>
        <v>0</v>
      </c>
      <c r="DU8" s="236">
        <f>IF(DT8=0,0,CharGen!L12)</f>
        <v>0</v>
      </c>
      <c r="DV8" s="154">
        <f t="shared" si="14"/>
        <v>0</v>
      </c>
      <c r="DW8" s="243">
        <f>IF(COUNTIF('Char Sheet p1'!$AP$7:$AP$35,DQ8)=0,0,ROUNDDOWN(SUMIF('Char Sheet p1'!$AP$7:$AP$35,DQ8,'Char Sheet p1'!$AQ$7:$AQ$35)/10,0))</f>
        <v>0</v>
      </c>
      <c r="DX8" s="240">
        <f t="shared" si="22"/>
        <v>0</v>
      </c>
      <c r="DY8" s="36">
        <f t="shared" si="26"/>
        <v>7</v>
      </c>
      <c r="DZ8" s="36" t="str">
        <f t="shared" si="15"/>
        <v/>
      </c>
      <c r="EA8" s="245">
        <v>1</v>
      </c>
      <c r="EB8" s="75" t="str">
        <f>DO54</f>
        <v>Athletics</v>
      </c>
      <c r="EC8" s="246" t="str">
        <f>IF(EA8&gt;$EB$9,"",INDEX($DP$54:$DP$79,SMALL($DZ$54:$DZ$79,EA8),1))</f>
        <v>Run</v>
      </c>
      <c r="ED8" s="247">
        <f t="shared" si="23"/>
        <v>1</v>
      </c>
      <c r="EE8" s="36">
        <f t="shared" si="25"/>
        <v>4</v>
      </c>
    </row>
    <row r="9" spans="1:135" ht="11.25">
      <c r="A9" s="40">
        <v>80</v>
      </c>
      <c r="B9" s="40">
        <v>99</v>
      </c>
      <c r="C9" s="41" t="s">
        <v>628</v>
      </c>
      <c r="D9" s="40">
        <v>360</v>
      </c>
      <c r="E9" s="40">
        <v>5</v>
      </c>
      <c r="F9" s="40">
        <v>240</v>
      </c>
      <c r="G9" s="40">
        <v>0</v>
      </c>
      <c r="H9" s="40">
        <v>0</v>
      </c>
      <c r="I9" s="42" t="s">
        <v>255</v>
      </c>
      <c r="J9" s="43">
        <v>4</v>
      </c>
      <c r="L9" s="93"/>
      <c r="M9" s="94"/>
      <c r="N9" s="94"/>
      <c r="O9" s="94"/>
      <c r="P9" s="94"/>
      <c r="Q9" s="94"/>
      <c r="R9" s="94"/>
      <c r="S9" s="94" t="s">
        <v>680</v>
      </c>
      <c r="T9" s="94"/>
      <c r="U9" s="94"/>
      <c r="V9" s="94" t="s">
        <v>978</v>
      </c>
      <c r="W9" s="94"/>
      <c r="X9" s="94"/>
      <c r="Y9" s="94"/>
      <c r="Z9" s="94"/>
      <c r="AA9" s="94"/>
      <c r="AB9" s="94"/>
      <c r="AC9" s="94"/>
      <c r="AD9" s="95"/>
      <c r="AE9" s="5"/>
      <c r="AG9" s="32" t="s">
        <v>865</v>
      </c>
      <c r="AH9" s="34" t="s">
        <v>881</v>
      </c>
      <c r="AI9" s="34"/>
      <c r="AJ9" s="31"/>
      <c r="AK9" s="31"/>
      <c r="AL9" s="31" t="str">
        <f t="shared" si="0"/>
        <v/>
      </c>
      <c r="AM9" s="31">
        <v>1</v>
      </c>
      <c r="AN9" s="31">
        <f t="shared" si="24"/>
        <v>8</v>
      </c>
      <c r="AO9" s="35" t="s">
        <v>962</v>
      </c>
      <c r="AP9" s="134"/>
      <c r="AQ9" s="47"/>
      <c r="AR9" s="134"/>
      <c r="AS9" s="47"/>
      <c r="AT9" s="134"/>
      <c r="AU9" s="47"/>
      <c r="AV9" s="134"/>
      <c r="AW9" s="47"/>
      <c r="AX9" s="134"/>
      <c r="AY9" s="47"/>
      <c r="AZ9" s="134"/>
      <c r="BA9" s="47"/>
      <c r="BB9" s="134"/>
      <c r="BC9" s="47"/>
      <c r="BD9" s="134"/>
      <c r="BE9" s="47"/>
      <c r="BF9" s="134"/>
      <c r="BG9" s="47"/>
      <c r="BH9" s="134"/>
      <c r="BI9" s="47"/>
      <c r="BJ9" s="134"/>
      <c r="BK9" s="47"/>
      <c r="BL9" s="134"/>
      <c r="BM9" s="47"/>
      <c r="BN9" s="134"/>
      <c r="BO9" s="47"/>
      <c r="BP9" s="134"/>
      <c r="BQ9" s="47"/>
      <c r="BR9" s="134"/>
      <c r="BS9" s="47"/>
      <c r="BT9" s="134"/>
      <c r="BU9" s="47"/>
      <c r="BV9" s="134"/>
      <c r="BW9" s="47"/>
      <c r="BX9" s="134"/>
      <c r="BY9" s="47"/>
      <c r="BZ9" s="134"/>
      <c r="CA9" s="47"/>
      <c r="CB9" s="120"/>
      <c r="CC9" s="120"/>
      <c r="CD9" s="120"/>
      <c r="CE9" s="120"/>
      <c r="CF9" s="120"/>
      <c r="CG9" s="120"/>
      <c r="CH9" s="120"/>
      <c r="CI9" s="120"/>
      <c r="CJ9" s="120"/>
      <c r="CK9" s="179">
        <f t="shared" si="1"/>
        <v>8</v>
      </c>
      <c r="CL9" s="37" t="str">
        <f t="shared" ca="1" si="2"/>
        <v>Beastfriend</v>
      </c>
      <c r="CM9" s="36">
        <f t="shared" si="16"/>
        <v>8</v>
      </c>
      <c r="CN9" s="37" t="str">
        <f ca="1">IF($AN9&gt;CN$1,"",INDEX($AG$2:$AG$226,SMALL(CM$2:$CM$226,$AN9),1))</f>
        <v>Beserker</v>
      </c>
      <c r="CO9" s="36">
        <f t="shared" si="17"/>
        <v>8</v>
      </c>
      <c r="CP9" s="37" t="str">
        <f t="shared" ca="1" si="18"/>
        <v>Beserker</v>
      </c>
      <c r="CS9" s="28">
        <f t="shared" si="3"/>
        <v>8</v>
      </c>
      <c r="CT9" s="37" t="str">
        <f t="shared" ca="1" si="4"/>
        <v>Beserker</v>
      </c>
      <c r="CU9" s="28">
        <f t="shared" si="3"/>
        <v>8</v>
      </c>
      <c r="CV9" s="37" t="str">
        <f t="shared" ca="1" si="5"/>
        <v>Beserker</v>
      </c>
      <c r="CW9" s="28">
        <f t="shared" si="6"/>
        <v>8</v>
      </c>
      <c r="CX9" s="37" t="str">
        <f t="shared" ca="1" si="7"/>
        <v>Beserker</v>
      </c>
      <c r="CY9" s="28">
        <f t="shared" si="8"/>
        <v>8</v>
      </c>
      <c r="CZ9" s="37" t="str">
        <f t="shared" ca="1" si="7"/>
        <v>Beserker</v>
      </c>
      <c r="DA9" s="28">
        <f t="shared" si="9"/>
        <v>8</v>
      </c>
      <c r="DB9" s="37" t="str">
        <f t="shared" ca="1" si="10"/>
        <v>Beserker</v>
      </c>
      <c r="DC9" s="28">
        <f t="shared" si="11"/>
        <v>8</v>
      </c>
      <c r="DD9" s="37" t="str">
        <f t="shared" ca="1" si="12"/>
        <v>Beserker</v>
      </c>
      <c r="DN9" s="32">
        <v>8</v>
      </c>
      <c r="DO9" s="34" t="s">
        <v>640</v>
      </c>
      <c r="DP9" s="38">
        <f t="shared" si="13"/>
        <v>0</v>
      </c>
      <c r="DQ9" s="173" t="str">
        <f t="shared" si="19"/>
        <v>(Agil) 0</v>
      </c>
      <c r="DR9" s="36" t="str">
        <f t="shared" si="20"/>
        <v/>
      </c>
      <c r="DS9" s="37" t="str">
        <f t="shared" si="21"/>
        <v>(Anim) Ride</v>
      </c>
      <c r="DT9" s="235">
        <f>CharGen!N13</f>
        <v>0</v>
      </c>
      <c r="DU9" s="236">
        <f>IF(DT9=0,0,CharGen!L13)</f>
        <v>0</v>
      </c>
      <c r="DV9" s="154">
        <f t="shared" si="14"/>
        <v>0</v>
      </c>
      <c r="DW9" s="243">
        <f>IF(COUNTIF('Char Sheet p1'!$AP$7:$AP$35,DQ9)=0,0,ROUNDDOWN(SUMIF('Char Sheet p1'!$AP$7:$AP$35,DQ9,'Char Sheet p1'!$AQ$7:$AQ$35)/10,0))</f>
        <v>0</v>
      </c>
      <c r="DX9" s="240">
        <f t="shared" si="22"/>
        <v>0</v>
      </c>
      <c r="DY9" s="36">
        <f t="shared" si="26"/>
        <v>8</v>
      </c>
      <c r="DZ9" s="36" t="str">
        <f t="shared" si="15"/>
        <v/>
      </c>
      <c r="EA9" s="36">
        <v>2</v>
      </c>
      <c r="EB9" s="78">
        <f>COUNT(DZ54:DZ79)</f>
        <v>1</v>
      </c>
      <c r="EC9" s="32" t="str">
        <f>IF(EA9&gt;$EB$9,"",INDEX($DP$54:$DP$79,SMALL($DZ$54:$DZ$79,EA9),1))</f>
        <v/>
      </c>
      <c r="ED9" s="39" t="str">
        <f t="shared" si="23"/>
        <v/>
      </c>
      <c r="EE9" s="36">
        <f t="shared" si="25"/>
        <v>4</v>
      </c>
    </row>
    <row r="10" spans="1:135">
      <c r="C10" s="41" t="s">
        <v>320</v>
      </c>
      <c r="D10" s="40">
        <f>VLOOKUP(age,agelookup,4,TRUE)</f>
        <v>180</v>
      </c>
      <c r="E10" s="40">
        <v>7</v>
      </c>
      <c r="F10" s="40">
        <f>VLOOKUP(age,agelookup,6,TRUE)</f>
        <v>60</v>
      </c>
      <c r="G10" s="40">
        <f>VLOOKUP(age,agelookup,7,TRUE)</f>
        <v>5</v>
      </c>
      <c r="H10" s="40">
        <v>6</v>
      </c>
      <c r="I10" s="42"/>
      <c r="J10" s="43">
        <f>VLOOKUP(age,agelookup,10,TRUE)</f>
        <v>0</v>
      </c>
      <c r="L10" s="93"/>
      <c r="M10" s="94"/>
      <c r="N10" s="94"/>
      <c r="O10" s="94"/>
      <c r="P10" s="94"/>
      <c r="Q10" s="94"/>
      <c r="R10" s="94"/>
      <c r="S10" s="94" t="s">
        <v>681</v>
      </c>
      <c r="T10" s="94"/>
      <c r="U10" s="94"/>
      <c r="V10" s="94" t="s">
        <v>979</v>
      </c>
      <c r="W10" s="94"/>
      <c r="X10" s="94"/>
      <c r="Y10" s="94"/>
      <c r="Z10" s="94"/>
      <c r="AA10" s="94"/>
      <c r="AB10" s="94"/>
      <c r="AC10" s="94"/>
      <c r="AD10" s="95"/>
      <c r="AE10" s="5"/>
      <c r="AG10" s="32" t="s">
        <v>866</v>
      </c>
      <c r="AH10" s="34" t="s">
        <v>881</v>
      </c>
      <c r="AI10" s="34"/>
      <c r="AJ10" s="31"/>
      <c r="AK10" s="31"/>
      <c r="AL10" s="31" t="str">
        <f t="shared" si="0"/>
        <v/>
      </c>
      <c r="AM10" s="31">
        <v>1</v>
      </c>
      <c r="AN10" s="31">
        <f t="shared" si="24"/>
        <v>9</v>
      </c>
      <c r="AO10" s="35" t="s">
        <v>963</v>
      </c>
      <c r="AP10" s="134"/>
      <c r="AQ10" s="47"/>
      <c r="AR10" s="134"/>
      <c r="AS10" s="47"/>
      <c r="AT10" s="134"/>
      <c r="AU10" s="47"/>
      <c r="AV10" s="134"/>
      <c r="AW10" s="47"/>
      <c r="AX10" s="134"/>
      <c r="AY10" s="47"/>
      <c r="AZ10" s="134"/>
      <c r="BA10" s="47"/>
      <c r="BB10" s="134"/>
      <c r="BC10" s="47"/>
      <c r="BD10" s="134"/>
      <c r="BE10" s="47"/>
      <c r="BF10" s="134"/>
      <c r="BG10" s="47"/>
      <c r="BH10" s="134"/>
      <c r="BI10" s="47"/>
      <c r="BJ10" s="134"/>
      <c r="BK10" s="47"/>
      <c r="BL10" s="134"/>
      <c r="BM10" s="47"/>
      <c r="BN10" s="134"/>
      <c r="BO10" s="47"/>
      <c r="BP10" s="134"/>
      <c r="BQ10" s="47"/>
      <c r="BR10" s="134"/>
      <c r="BS10" s="47"/>
      <c r="BT10" s="134"/>
      <c r="BU10" s="47"/>
      <c r="BV10" s="134"/>
      <c r="BW10" s="47"/>
      <c r="BX10" s="134"/>
      <c r="BY10" s="47"/>
      <c r="BZ10" s="134"/>
      <c r="CA10" s="47"/>
      <c r="CB10" s="120"/>
      <c r="CC10" s="120"/>
      <c r="CD10" s="120"/>
      <c r="CE10" s="120"/>
      <c r="CF10" s="120"/>
      <c r="CG10" s="120"/>
      <c r="CH10" s="120"/>
      <c r="CI10" s="120"/>
      <c r="CJ10" s="120"/>
      <c r="CK10" s="179">
        <f t="shared" si="1"/>
        <v>9</v>
      </c>
      <c r="CL10" s="37" t="str">
        <f t="shared" ca="1" si="2"/>
        <v>Beserker</v>
      </c>
      <c r="CM10" s="36">
        <f t="shared" si="16"/>
        <v>9</v>
      </c>
      <c r="CN10" s="37" t="str">
        <f ca="1">IF($AN10&gt;CN$1,"",INDEX($AG$2:$AG$226,SMALL(CM$2:$CM$226,$AN10),1))</f>
        <v>Blood of Heroes</v>
      </c>
      <c r="CO10" s="36">
        <f t="shared" si="17"/>
        <v>9</v>
      </c>
      <c r="CP10" s="37" t="str">
        <f t="shared" ca="1" si="18"/>
        <v>Blood of Heroes</v>
      </c>
      <c r="CS10" s="28">
        <f t="shared" si="3"/>
        <v>9</v>
      </c>
      <c r="CT10" s="37" t="str">
        <f t="shared" ca="1" si="4"/>
        <v>Blood of Heroes</v>
      </c>
      <c r="CU10" s="28">
        <f t="shared" si="3"/>
        <v>9</v>
      </c>
      <c r="CV10" s="37" t="str">
        <f t="shared" ca="1" si="5"/>
        <v>Blood of Heroes</v>
      </c>
      <c r="CW10" s="28">
        <f t="shared" si="6"/>
        <v>9</v>
      </c>
      <c r="CX10" s="37" t="str">
        <f t="shared" ca="1" si="7"/>
        <v>Blood of Heroes</v>
      </c>
      <c r="CY10" s="28">
        <f t="shared" si="8"/>
        <v>9</v>
      </c>
      <c r="CZ10" s="37" t="str">
        <f t="shared" ca="1" si="7"/>
        <v>Blood of Heroes</v>
      </c>
      <c r="DA10" s="28">
        <f t="shared" si="9"/>
        <v>9</v>
      </c>
      <c r="DB10" s="37" t="str">
        <f t="shared" ca="1" si="10"/>
        <v>Blood of Heroes</v>
      </c>
      <c r="DC10" s="28">
        <f t="shared" si="11"/>
        <v>9</v>
      </c>
      <c r="DD10" s="37" t="str">
        <f t="shared" ca="1" si="12"/>
        <v>Blood of Heroes</v>
      </c>
      <c r="DN10" s="32">
        <v>9</v>
      </c>
      <c r="DO10" s="34" t="s">
        <v>640</v>
      </c>
      <c r="DP10" s="38">
        <f t="shared" si="13"/>
        <v>0</v>
      </c>
      <c r="DQ10" s="173" t="str">
        <f t="shared" si="19"/>
        <v>(Agil) 0</v>
      </c>
      <c r="DR10" s="36" t="str">
        <f t="shared" si="20"/>
        <v/>
      </c>
      <c r="DS10" s="37" t="str">
        <f t="shared" si="21"/>
        <v>(Anim) Train</v>
      </c>
      <c r="DT10" s="235">
        <f>CharGen!N14</f>
        <v>0</v>
      </c>
      <c r="DU10" s="236">
        <f>IF(DT10=0,0,CharGen!L14)</f>
        <v>0</v>
      </c>
      <c r="DV10" s="154">
        <f t="shared" si="14"/>
        <v>0</v>
      </c>
      <c r="DW10" s="243">
        <f>IF(COUNTIF('Char Sheet p1'!$AP$7:$AP$35,DQ10)=0,0,ROUNDDOWN(SUMIF('Char Sheet p1'!$AP$7:$AP$35,DQ10,'Char Sheet p1'!$AQ$7:$AQ$35)/10,0))</f>
        <v>0</v>
      </c>
      <c r="DX10" s="240">
        <f t="shared" si="22"/>
        <v>0</v>
      </c>
      <c r="DY10" s="36">
        <f t="shared" si="26"/>
        <v>9</v>
      </c>
      <c r="DZ10" s="36" t="str">
        <f t="shared" si="15"/>
        <v/>
      </c>
      <c r="EA10" s="55">
        <v>3</v>
      </c>
      <c r="EC10" s="41" t="str">
        <f>IF(EA10&gt;$EB$9,"",INDEX($DP$54:$DP$79,SMALL($DZ$54:$DZ$79,EA10),1))</f>
        <v/>
      </c>
      <c r="ED10" s="43" t="str">
        <f t="shared" si="23"/>
        <v/>
      </c>
      <c r="EE10" s="36">
        <f t="shared" si="25"/>
        <v>4</v>
      </c>
    </row>
    <row r="11" spans="1:135" ht="11.25">
      <c r="L11" s="93"/>
      <c r="M11" s="94"/>
      <c r="N11" s="94"/>
      <c r="O11" s="94"/>
      <c r="P11" s="94"/>
      <c r="Q11" s="94"/>
      <c r="R11" s="94"/>
      <c r="S11" s="94"/>
      <c r="T11" s="94"/>
      <c r="U11" s="94"/>
      <c r="V11" s="94" t="s">
        <v>980</v>
      </c>
      <c r="W11" s="94"/>
      <c r="X11" s="94"/>
      <c r="Y11" s="94"/>
      <c r="Z11" s="94"/>
      <c r="AA11" s="94"/>
      <c r="AB11" s="94"/>
      <c r="AC11" s="94"/>
      <c r="AD11" s="95"/>
      <c r="AE11" s="5"/>
      <c r="AG11" s="32" t="s">
        <v>839</v>
      </c>
      <c r="AH11" s="34" t="s">
        <v>880</v>
      </c>
      <c r="AI11" s="34" t="s">
        <v>886</v>
      </c>
      <c r="AJ11" s="31"/>
      <c r="AK11" s="31"/>
      <c r="AL11" s="31" t="str">
        <f t="shared" si="0"/>
        <v/>
      </c>
      <c r="AM11" s="31">
        <f ca="1">N(AND(fighting&gt;3,SUMIF(figspec,"Axes",figspecval)&gt;1))</f>
        <v>0</v>
      </c>
      <c r="AN11" s="31">
        <f t="shared" si="24"/>
        <v>10</v>
      </c>
      <c r="AO11" s="35" t="s">
        <v>4</v>
      </c>
      <c r="AP11" s="134"/>
      <c r="AQ11" s="47"/>
      <c r="AR11" s="134"/>
      <c r="AS11" s="47"/>
      <c r="AT11" s="134"/>
      <c r="AU11" s="47"/>
      <c r="AV11" s="134"/>
      <c r="AW11" s="47"/>
      <c r="AX11" s="134"/>
      <c r="AY11" s="47"/>
      <c r="AZ11" s="134"/>
      <c r="BA11" s="47"/>
      <c r="BB11" s="134"/>
      <c r="BC11" s="47"/>
      <c r="BD11" s="134"/>
      <c r="BE11" s="47"/>
      <c r="BF11" s="134"/>
      <c r="BG11" s="47"/>
      <c r="BH11" s="134"/>
      <c r="BI11" s="47"/>
      <c r="BJ11" s="134"/>
      <c r="BK11" s="47"/>
      <c r="BL11" s="134"/>
      <c r="BM11" s="47"/>
      <c r="BN11" s="134"/>
      <c r="BO11" s="47"/>
      <c r="BP11" s="134"/>
      <c r="BQ11" s="47"/>
      <c r="BR11" s="134"/>
      <c r="BS11" s="47"/>
      <c r="BT11" s="134"/>
      <c r="BU11" s="47"/>
      <c r="BV11" s="134"/>
      <c r="BW11" s="47"/>
      <c r="BX11" s="134"/>
      <c r="BY11" s="47"/>
      <c r="BZ11" s="134"/>
      <c r="CA11" s="47"/>
      <c r="CB11" s="120"/>
      <c r="CC11" s="120"/>
      <c r="CD11" s="120"/>
      <c r="CE11" s="120"/>
      <c r="CF11" s="120"/>
      <c r="CG11" s="120"/>
      <c r="CH11" s="120"/>
      <c r="CI11" s="120"/>
      <c r="CJ11" s="120"/>
      <c r="CK11" s="179" t="str">
        <f t="shared" ca="1" si="1"/>
        <v/>
      </c>
      <c r="CL11" s="37" t="str">
        <f t="shared" ca="1" si="2"/>
        <v>Blood of Heroes</v>
      </c>
      <c r="CM11" s="36" t="str">
        <f t="shared" ca="1" si="16"/>
        <v/>
      </c>
      <c r="CN11" s="37" t="str">
        <f ca="1">IF($AN11&gt;CN$1,"",INDEX($AG$2:$AG$226,SMALL(CM$2:$CM$226,$AN11),1))</f>
        <v>Blood of the Andals</v>
      </c>
      <c r="CO11" s="36" t="str">
        <f t="shared" ca="1" si="17"/>
        <v/>
      </c>
      <c r="CP11" s="37" t="str">
        <f t="shared" ca="1" si="18"/>
        <v>Blood of the Andals</v>
      </c>
      <c r="CS11" s="28" t="str">
        <f t="shared" ca="1" si="3"/>
        <v/>
      </c>
      <c r="CT11" s="37" t="str">
        <f t="shared" ca="1" si="4"/>
        <v>Blood of the Andals</v>
      </c>
      <c r="CU11" s="28" t="str">
        <f t="shared" ca="1" si="3"/>
        <v/>
      </c>
      <c r="CV11" s="37" t="str">
        <f t="shared" ca="1" si="5"/>
        <v>Blood of the Andals</v>
      </c>
      <c r="CW11" s="28" t="str">
        <f t="shared" ca="1" si="6"/>
        <v/>
      </c>
      <c r="CX11" s="37" t="str">
        <f t="shared" ca="1" si="7"/>
        <v>Blood of the Andals</v>
      </c>
      <c r="CY11" s="28" t="str">
        <f t="shared" ca="1" si="8"/>
        <v/>
      </c>
      <c r="CZ11" s="37" t="str">
        <f t="shared" ca="1" si="7"/>
        <v>Blood of the Andals</v>
      </c>
      <c r="DA11" s="28" t="str">
        <f t="shared" ca="1" si="9"/>
        <v/>
      </c>
      <c r="DB11" s="37" t="str">
        <f t="shared" ca="1" si="10"/>
        <v>Blood of the Andals</v>
      </c>
      <c r="DC11" s="28" t="str">
        <f t="shared" ca="1" si="11"/>
        <v/>
      </c>
      <c r="DD11" s="37" t="str">
        <f t="shared" ca="1" si="12"/>
        <v>Blood of the Andals</v>
      </c>
      <c r="DN11" s="32">
        <v>10</v>
      </c>
      <c r="DO11" s="34" t="s">
        <v>640</v>
      </c>
      <c r="DP11" s="38">
        <f t="shared" si="13"/>
        <v>0</v>
      </c>
      <c r="DQ11" s="173" t="str">
        <f t="shared" si="19"/>
        <v>(Agil) 0</v>
      </c>
      <c r="DR11" s="36" t="str">
        <f t="shared" si="20"/>
        <v/>
      </c>
      <c r="DS11" s="37" t="str">
        <f t="shared" si="21"/>
        <v>(Athl) Climb</v>
      </c>
      <c r="DT11" s="235">
        <f>CharGen!N15</f>
        <v>0</v>
      </c>
      <c r="DU11" s="236">
        <f>IF(DT11=0,0,CharGen!L15)</f>
        <v>0</v>
      </c>
      <c r="DV11" s="154">
        <f t="shared" si="14"/>
        <v>0</v>
      </c>
      <c r="DW11" s="243">
        <f>IF(COUNTIF('Char Sheet p1'!$AP$7:$AP$35,DQ11)=0,0,ROUNDDOWN(SUMIF('Char Sheet p1'!$AP$7:$AP$35,DQ11,'Char Sheet p1'!$AQ$7:$AQ$35)/10,0))</f>
        <v>0</v>
      </c>
      <c r="DX11" s="240">
        <f t="shared" si="22"/>
        <v>0</v>
      </c>
      <c r="DY11" s="36">
        <f t="shared" si="26"/>
        <v>10</v>
      </c>
      <c r="DZ11" s="36" t="str">
        <f t="shared" si="15"/>
        <v/>
      </c>
      <c r="EA11" s="245">
        <v>1</v>
      </c>
      <c r="EB11" s="75" t="str">
        <f>DO80</f>
        <v>Awareness</v>
      </c>
      <c r="EC11" s="246" t="str">
        <f>IF(EA11&gt;$EB$12,"",INDEX($DP$80:$DP$105,SMALL($DZ$80:$DZ$105,EA11),1))</f>
        <v/>
      </c>
      <c r="ED11" s="247" t="str">
        <f t="shared" si="23"/>
        <v/>
      </c>
      <c r="EE11" s="36">
        <f t="shared" si="25"/>
        <v>4</v>
      </c>
    </row>
    <row r="12" spans="1:135" ht="11.25">
      <c r="A12" s="114" t="s">
        <v>634</v>
      </c>
      <c r="B12" s="115" t="s">
        <v>635</v>
      </c>
      <c r="I12" s="116" t="s">
        <v>321</v>
      </c>
      <c r="J12" s="19" t="str">
        <f>IF(AND(CharGen!AM10=0,CharGen!AM16=0,currentdestiny&gt;=0,remainingflaws=0),"y","n")</f>
        <v>y</v>
      </c>
      <c r="L12" s="93"/>
      <c r="M12" s="94"/>
      <c r="N12" s="94"/>
      <c r="O12" s="94"/>
      <c r="P12" s="94"/>
      <c r="Q12" s="94"/>
      <c r="R12" s="94"/>
      <c r="S12" s="94"/>
      <c r="T12" s="94"/>
      <c r="U12" s="94"/>
      <c r="V12" s="94" t="s">
        <v>981</v>
      </c>
      <c r="W12" s="94"/>
      <c r="X12" s="94"/>
      <c r="Y12" s="94"/>
      <c r="Z12" s="94"/>
      <c r="AA12" s="94"/>
      <c r="AB12" s="94"/>
      <c r="AC12" s="94"/>
      <c r="AD12" s="95"/>
      <c r="AE12" s="5"/>
      <c r="AG12" s="32" t="s">
        <v>889</v>
      </c>
      <c r="AH12" s="34" t="s">
        <v>880</v>
      </c>
      <c r="AI12" s="34" t="s">
        <v>887</v>
      </c>
      <c r="AJ12" s="31"/>
      <c r="AK12" s="31"/>
      <c r="AL12" s="31" t="str">
        <f t="shared" si="0"/>
        <v/>
      </c>
      <c r="AM12" s="31">
        <f ca="1">N(AND(fighting&gt;4,SUMIF(figspec,"Axes",figspecval)&gt;2,COUNTIF(qualities,"Axe Fighter I")&gt;0))</f>
        <v>0</v>
      </c>
      <c r="AN12" s="31">
        <f t="shared" si="24"/>
        <v>11</v>
      </c>
      <c r="AO12" s="35" t="s">
        <v>5</v>
      </c>
      <c r="AP12" s="134"/>
      <c r="AQ12" s="47"/>
      <c r="AR12" s="134"/>
      <c r="AS12" s="47"/>
      <c r="AT12" s="134"/>
      <c r="AU12" s="47"/>
      <c r="AV12" s="134"/>
      <c r="AW12" s="47"/>
      <c r="AX12" s="134"/>
      <c r="AY12" s="47"/>
      <c r="AZ12" s="134"/>
      <c r="BA12" s="47"/>
      <c r="BB12" s="134"/>
      <c r="BC12" s="47"/>
      <c r="BD12" s="134"/>
      <c r="BE12" s="47"/>
      <c r="BF12" s="134"/>
      <c r="BG12" s="47"/>
      <c r="BH12" s="134"/>
      <c r="BI12" s="47"/>
      <c r="BJ12" s="134"/>
      <c r="BK12" s="47"/>
      <c r="BL12" s="134"/>
      <c r="BM12" s="47"/>
      <c r="BN12" s="134"/>
      <c r="BO12" s="47"/>
      <c r="BP12" s="134"/>
      <c r="BQ12" s="47"/>
      <c r="BR12" s="134"/>
      <c r="BS12" s="47"/>
      <c r="BT12" s="134"/>
      <c r="BU12" s="47"/>
      <c r="BV12" s="134"/>
      <c r="BW12" s="47"/>
      <c r="BX12" s="134"/>
      <c r="BY12" s="47"/>
      <c r="BZ12" s="134"/>
      <c r="CA12" s="47"/>
      <c r="CB12" s="120"/>
      <c r="CC12" s="120"/>
      <c r="CD12" s="120"/>
      <c r="CE12" s="120"/>
      <c r="CF12" s="120"/>
      <c r="CG12" s="120"/>
      <c r="CH12" s="120"/>
      <c r="CI12" s="120"/>
      <c r="CJ12" s="120"/>
      <c r="CK12" s="179" t="str">
        <f t="shared" ca="1" si="1"/>
        <v/>
      </c>
      <c r="CL12" s="37" t="str">
        <f t="shared" ca="1" si="2"/>
        <v>Blood of the Andals</v>
      </c>
      <c r="CM12" s="36" t="str">
        <f t="shared" ca="1" si="16"/>
        <v/>
      </c>
      <c r="CN12" s="37" t="str">
        <f ca="1">IF($AN12&gt;CN$1,"",INDEX($AG$2:$AG$226,SMALL(CM$2:$CM$226,$AN12),1))</f>
        <v>Blood of the First Men</v>
      </c>
      <c r="CO12" s="36" t="str">
        <f t="shared" ca="1" si="17"/>
        <v/>
      </c>
      <c r="CP12" s="37" t="str">
        <f t="shared" ca="1" si="18"/>
        <v>Blood of the First Men</v>
      </c>
      <c r="CS12" s="28" t="str">
        <f t="shared" ca="1" si="3"/>
        <v/>
      </c>
      <c r="CT12" s="37" t="str">
        <f t="shared" ca="1" si="4"/>
        <v>Blood of the First Men</v>
      </c>
      <c r="CU12" s="28" t="str">
        <f t="shared" ca="1" si="3"/>
        <v/>
      </c>
      <c r="CV12" s="37" t="str">
        <f t="shared" ca="1" si="5"/>
        <v>Blood of the First Men</v>
      </c>
      <c r="CW12" s="28" t="str">
        <f t="shared" ca="1" si="6"/>
        <v/>
      </c>
      <c r="CX12" s="37" t="str">
        <f t="shared" ca="1" si="7"/>
        <v>Blood of the First Men</v>
      </c>
      <c r="CY12" s="28" t="str">
        <f t="shared" ca="1" si="8"/>
        <v/>
      </c>
      <c r="CZ12" s="37" t="str">
        <f t="shared" ca="1" si="7"/>
        <v>Blood of the First Men</v>
      </c>
      <c r="DA12" s="28" t="str">
        <f t="shared" ca="1" si="9"/>
        <v/>
      </c>
      <c r="DB12" s="37" t="str">
        <f t="shared" ca="1" si="10"/>
        <v>Blood of the First Men</v>
      </c>
      <c r="DC12" s="28" t="str">
        <f t="shared" ca="1" si="11"/>
        <v/>
      </c>
      <c r="DD12" s="37" t="str">
        <f t="shared" ca="1" si="12"/>
        <v>Blood of the First Men</v>
      </c>
      <c r="DN12" s="32">
        <v>11</v>
      </c>
      <c r="DO12" s="34" t="s">
        <v>640</v>
      </c>
      <c r="DP12" s="38">
        <f t="shared" si="13"/>
        <v>0</v>
      </c>
      <c r="DQ12" s="173" t="str">
        <f t="shared" si="19"/>
        <v>(Agil) 0</v>
      </c>
      <c r="DR12" s="36" t="str">
        <f t="shared" si="20"/>
        <v/>
      </c>
      <c r="DS12" s="37" t="str">
        <f t="shared" si="21"/>
        <v>(Athl) Jump</v>
      </c>
      <c r="DT12" s="235">
        <f>CharGen!N16</f>
        <v>0</v>
      </c>
      <c r="DU12" s="236">
        <f>IF(DT12=0,0,CharGen!L16)</f>
        <v>0</v>
      </c>
      <c r="DV12" s="154">
        <f t="shared" si="14"/>
        <v>0</v>
      </c>
      <c r="DW12" s="243">
        <f>IF(COUNTIF('Char Sheet p1'!$AP$7:$AP$35,DQ12)=0,0,ROUNDDOWN(SUMIF('Char Sheet p1'!$AP$7:$AP$35,DQ12,'Char Sheet p1'!$AQ$7:$AQ$35)/10,0))</f>
        <v>0</v>
      </c>
      <c r="DX12" s="240">
        <f t="shared" si="22"/>
        <v>0</v>
      </c>
      <c r="DY12" s="36">
        <f t="shared" si="26"/>
        <v>11</v>
      </c>
      <c r="DZ12" s="36" t="str">
        <f t="shared" si="15"/>
        <v/>
      </c>
      <c r="EA12" s="36">
        <v>2</v>
      </c>
      <c r="EB12" s="78">
        <f>COUNT(DZ80:DZ105)</f>
        <v>0</v>
      </c>
      <c r="EC12" s="32" t="str">
        <f>IF(EA12&gt;$EB$12,"",INDEX($DP$80:$DP$105,SMALL($DZ$80:$DZ$105,EA12),1))</f>
        <v/>
      </c>
      <c r="ED12" s="39" t="str">
        <f t="shared" si="23"/>
        <v/>
      </c>
      <c r="EE12" s="36">
        <f t="shared" si="25"/>
        <v>4</v>
      </c>
    </row>
    <row r="13" spans="1:135">
      <c r="A13" s="112">
        <v>1</v>
      </c>
      <c r="B13" s="39">
        <v>-50</v>
      </c>
      <c r="J13" s="117" t="str">
        <f>IF(J12="y","Y","")</f>
        <v>Y</v>
      </c>
      <c r="L13" s="93"/>
      <c r="M13" s="94"/>
      <c r="N13" s="94"/>
      <c r="O13" s="94"/>
      <c r="P13" s="94"/>
      <c r="Q13" s="94"/>
      <c r="R13" s="94"/>
      <c r="S13" s="94"/>
      <c r="T13" s="94"/>
      <c r="U13" s="94"/>
      <c r="V13" s="94" t="s">
        <v>982</v>
      </c>
      <c r="W13" s="94"/>
      <c r="X13" s="94"/>
      <c r="Y13" s="94"/>
      <c r="Z13" s="94"/>
      <c r="AA13" s="94"/>
      <c r="AB13" s="94"/>
      <c r="AC13" s="94"/>
      <c r="AD13" s="95"/>
      <c r="AE13" s="5"/>
      <c r="AG13" s="32" t="s">
        <v>890</v>
      </c>
      <c r="AH13" s="34" t="s">
        <v>880</v>
      </c>
      <c r="AI13" s="34" t="s">
        <v>888</v>
      </c>
      <c r="AJ13" s="31"/>
      <c r="AK13" s="31"/>
      <c r="AL13" s="31" t="str">
        <f t="shared" si="0"/>
        <v/>
      </c>
      <c r="AM13" s="31">
        <f ca="1">N(AND(fighting&gt;5,SUMIF(figspec,"Axes",figspecval)&gt;3,COUNTIF(qualities,"Axe Fighter II")&gt;0))</f>
        <v>0</v>
      </c>
      <c r="AN13" s="31">
        <f t="shared" si="24"/>
        <v>12</v>
      </c>
      <c r="AO13" s="35" t="s">
        <v>6</v>
      </c>
      <c r="AP13" s="134"/>
      <c r="AQ13" s="47"/>
      <c r="AR13" s="134"/>
      <c r="AS13" s="47"/>
      <c r="AT13" s="134"/>
      <c r="AU13" s="47"/>
      <c r="AV13" s="134"/>
      <c r="AW13" s="47"/>
      <c r="AX13" s="134"/>
      <c r="AY13" s="47"/>
      <c r="AZ13" s="134"/>
      <c r="BA13" s="47"/>
      <c r="BB13" s="134"/>
      <c r="BC13" s="47"/>
      <c r="BD13" s="134"/>
      <c r="BE13" s="47"/>
      <c r="BF13" s="134"/>
      <c r="BG13" s="47"/>
      <c r="BH13" s="134"/>
      <c r="BI13" s="47"/>
      <c r="BJ13" s="134"/>
      <c r="BK13" s="47"/>
      <c r="BL13" s="134"/>
      <c r="BM13" s="47"/>
      <c r="BN13" s="134"/>
      <c r="BO13" s="47"/>
      <c r="BP13" s="134"/>
      <c r="BQ13" s="47"/>
      <c r="BR13" s="134"/>
      <c r="BS13" s="47"/>
      <c r="BT13" s="134"/>
      <c r="BU13" s="47"/>
      <c r="BV13" s="134"/>
      <c r="BW13" s="47"/>
      <c r="BX13" s="134"/>
      <c r="BY13" s="47"/>
      <c r="BZ13" s="134"/>
      <c r="CA13" s="47"/>
      <c r="CB13" s="120"/>
      <c r="CC13" s="120"/>
      <c r="CD13" s="120"/>
      <c r="CE13" s="120"/>
      <c r="CF13" s="120"/>
      <c r="CG13" s="120"/>
      <c r="CH13" s="120"/>
      <c r="CI13" s="120"/>
      <c r="CJ13" s="120"/>
      <c r="CK13" s="179" t="str">
        <f t="shared" ca="1" si="1"/>
        <v/>
      </c>
      <c r="CL13" s="37" t="str">
        <f t="shared" ca="1" si="2"/>
        <v>Blood of the First Men</v>
      </c>
      <c r="CM13" s="36" t="str">
        <f t="shared" ca="1" si="16"/>
        <v/>
      </c>
      <c r="CN13" s="37" t="str">
        <f ca="1">IF($AN13&gt;CN$1,"",INDEX($AG$2:$AG$226,SMALL(CM$2:$CM$226,$AN13),1))</f>
        <v>Blood of the Ironmen</v>
      </c>
      <c r="CO13" s="36" t="str">
        <f t="shared" ca="1" si="17"/>
        <v/>
      </c>
      <c r="CP13" s="37" t="str">
        <f t="shared" ca="1" si="18"/>
        <v>Blood of the Ironmen</v>
      </c>
      <c r="CS13" s="28" t="str">
        <f t="shared" ca="1" si="3"/>
        <v/>
      </c>
      <c r="CT13" s="37" t="str">
        <f t="shared" ca="1" si="4"/>
        <v>Blood of the Ironmen</v>
      </c>
      <c r="CU13" s="28" t="str">
        <f t="shared" ca="1" si="3"/>
        <v/>
      </c>
      <c r="CV13" s="37" t="str">
        <f t="shared" ca="1" si="5"/>
        <v>Blood of the Ironmen</v>
      </c>
      <c r="CW13" s="28" t="str">
        <f t="shared" ca="1" si="6"/>
        <v/>
      </c>
      <c r="CX13" s="37" t="str">
        <f t="shared" ca="1" si="7"/>
        <v>Blood of the Ironmen</v>
      </c>
      <c r="CY13" s="28" t="str">
        <f t="shared" ca="1" si="8"/>
        <v/>
      </c>
      <c r="CZ13" s="37" t="str">
        <f t="shared" ca="1" si="7"/>
        <v>Blood of the Ironmen</v>
      </c>
      <c r="DA13" s="28" t="str">
        <f t="shared" ca="1" si="9"/>
        <v/>
      </c>
      <c r="DB13" s="37" t="str">
        <f t="shared" ca="1" si="10"/>
        <v>Blood of the Ironmen</v>
      </c>
      <c r="DC13" s="28" t="str">
        <f t="shared" ca="1" si="11"/>
        <v/>
      </c>
      <c r="DD13" s="37" t="str">
        <f t="shared" ca="1" si="12"/>
        <v>Blood of the Ironmen</v>
      </c>
      <c r="DN13" s="32">
        <v>12</v>
      </c>
      <c r="DO13" s="34" t="s">
        <v>640</v>
      </c>
      <c r="DP13" s="38">
        <f t="shared" si="13"/>
        <v>0</v>
      </c>
      <c r="DQ13" s="173" t="str">
        <f t="shared" si="19"/>
        <v>(Agil) 0</v>
      </c>
      <c r="DR13" s="36" t="str">
        <f t="shared" si="20"/>
        <v/>
      </c>
      <c r="DS13" s="37" t="str">
        <f t="shared" si="21"/>
        <v>(Athl) Run</v>
      </c>
      <c r="DT13" s="235">
        <f>CharGen!N17</f>
        <v>0</v>
      </c>
      <c r="DU13" s="236">
        <f>IF(DT13=0,0,CharGen!L17)</f>
        <v>0</v>
      </c>
      <c r="DV13" s="154">
        <f t="shared" si="14"/>
        <v>0</v>
      </c>
      <c r="DW13" s="243">
        <f>IF(COUNTIF('Char Sheet p1'!$AP$7:$AP$35,DQ13)=0,0,ROUNDDOWN(SUMIF('Char Sheet p1'!$AP$7:$AP$35,DQ13,'Char Sheet p1'!$AQ$7:$AQ$35)/10,0))</f>
        <v>0</v>
      </c>
      <c r="DX13" s="240">
        <f t="shared" si="22"/>
        <v>0</v>
      </c>
      <c r="DY13" s="36">
        <f t="shared" si="26"/>
        <v>12</v>
      </c>
      <c r="DZ13" s="36" t="str">
        <f t="shared" si="15"/>
        <v/>
      </c>
      <c r="EA13" s="55"/>
      <c r="EC13" s="248" t="s">
        <v>474</v>
      </c>
      <c r="ED13" s="43"/>
      <c r="EE13" s="36">
        <f t="shared" si="25"/>
        <v>4</v>
      </c>
    </row>
    <row r="14" spans="1:135" ht="11.25">
      <c r="A14" s="112">
        <v>2</v>
      </c>
      <c r="B14" s="39">
        <v>0</v>
      </c>
      <c r="L14" s="93"/>
      <c r="M14" s="94"/>
      <c r="N14" s="94"/>
      <c r="O14" s="94"/>
      <c r="P14" s="94"/>
      <c r="Q14" s="94"/>
      <c r="R14" s="94"/>
      <c r="S14" s="94"/>
      <c r="T14" s="94"/>
      <c r="U14" s="94"/>
      <c r="V14" s="94" t="s">
        <v>983</v>
      </c>
      <c r="W14" s="94"/>
      <c r="X14" s="94"/>
      <c r="Y14" s="94"/>
      <c r="Z14" s="94"/>
      <c r="AA14" s="94"/>
      <c r="AB14" s="94"/>
      <c r="AC14" s="94"/>
      <c r="AD14" s="95"/>
      <c r="AE14" s="5"/>
      <c r="AG14" s="32" t="s">
        <v>169</v>
      </c>
      <c r="AH14" s="34" t="s">
        <v>773</v>
      </c>
      <c r="AI14" s="34"/>
      <c r="AJ14" s="31"/>
      <c r="AK14" s="31"/>
      <c r="AL14" s="31" t="str">
        <f t="shared" si="0"/>
        <v/>
      </c>
      <c r="AM14" s="31">
        <v>1</v>
      </c>
      <c r="AN14" s="31">
        <f t="shared" si="24"/>
        <v>13</v>
      </c>
      <c r="AO14" s="44" t="s">
        <v>806</v>
      </c>
      <c r="AP14" s="142"/>
      <c r="AQ14" s="46"/>
      <c r="AR14" s="142"/>
      <c r="AS14" s="46"/>
      <c r="AT14" s="142"/>
      <c r="AU14" s="46"/>
      <c r="AV14" s="142"/>
      <c r="AW14" s="46"/>
      <c r="AX14" s="142"/>
      <c r="AY14" s="46"/>
      <c r="AZ14" s="142"/>
      <c r="BA14" s="46"/>
      <c r="BB14" s="142"/>
      <c r="BC14" s="46"/>
      <c r="BD14" s="142"/>
      <c r="BE14" s="46"/>
      <c r="BF14" s="142"/>
      <c r="BG14" s="46"/>
      <c r="BH14" s="142"/>
      <c r="BI14" s="46"/>
      <c r="BJ14" s="142"/>
      <c r="BK14" s="46"/>
      <c r="BL14" s="142"/>
      <c r="BM14" s="46"/>
      <c r="BN14" s="142"/>
      <c r="BO14" s="46"/>
      <c r="BP14" s="142"/>
      <c r="BQ14" s="46"/>
      <c r="BR14" s="142"/>
      <c r="BS14" s="46"/>
      <c r="BT14" s="142"/>
      <c r="BU14" s="46"/>
      <c r="BV14" s="142"/>
      <c r="BW14" s="46"/>
      <c r="BX14" s="142"/>
      <c r="BY14" s="46"/>
      <c r="BZ14" s="142"/>
      <c r="CA14" s="46"/>
      <c r="CB14" s="124"/>
      <c r="CC14" s="124"/>
      <c r="CD14" s="124"/>
      <c r="CE14" s="124"/>
      <c r="CF14" s="124"/>
      <c r="CG14" s="124"/>
      <c r="CH14" s="124"/>
      <c r="CI14" s="124"/>
      <c r="CJ14" s="124"/>
      <c r="CK14" s="179">
        <f t="shared" si="1"/>
        <v>13</v>
      </c>
      <c r="CL14" s="37" t="str">
        <f t="shared" ca="1" si="2"/>
        <v>Blood of the Ironmen</v>
      </c>
      <c r="CM14" s="36">
        <f t="shared" si="16"/>
        <v>13</v>
      </c>
      <c r="CN14" s="37" t="str">
        <f ca="1">IF($AN14&gt;CN$1,"",INDEX($AG$2:$AG$226,SMALL(CM$2:$CM$226,$AN14),1))</f>
        <v>Blood of the Rhoyne</v>
      </c>
      <c r="CO14" s="36">
        <f t="shared" si="17"/>
        <v>13</v>
      </c>
      <c r="CP14" s="37" t="str">
        <f t="shared" ca="1" si="18"/>
        <v>Blood of the Rhoyne</v>
      </c>
      <c r="CS14" s="28">
        <f t="shared" si="3"/>
        <v>13</v>
      </c>
      <c r="CT14" s="37" t="str">
        <f t="shared" ca="1" si="4"/>
        <v>Blood of the Rhoyne</v>
      </c>
      <c r="CU14" s="28">
        <f t="shared" si="3"/>
        <v>13</v>
      </c>
      <c r="CV14" s="37" t="str">
        <f t="shared" ca="1" si="5"/>
        <v>Blood of the Rhoyne</v>
      </c>
      <c r="CW14" s="28">
        <f t="shared" si="6"/>
        <v>13</v>
      </c>
      <c r="CX14" s="37" t="str">
        <f t="shared" ca="1" si="7"/>
        <v>Blood of the Rhoyne</v>
      </c>
      <c r="CY14" s="28">
        <f t="shared" si="8"/>
        <v>13</v>
      </c>
      <c r="CZ14" s="37" t="str">
        <f t="shared" ca="1" si="7"/>
        <v>Blood of the Rhoyne</v>
      </c>
      <c r="DA14" s="28">
        <f t="shared" si="9"/>
        <v>13</v>
      </c>
      <c r="DB14" s="37" t="str">
        <f t="shared" ca="1" si="10"/>
        <v>Blood of the Rhoyne</v>
      </c>
      <c r="DC14" s="28">
        <f t="shared" si="11"/>
        <v>13</v>
      </c>
      <c r="DD14" s="37" t="str">
        <f t="shared" ca="1" si="12"/>
        <v>Blood of the Rhoyne</v>
      </c>
      <c r="DN14" s="32">
        <v>13</v>
      </c>
      <c r="DO14" s="34" t="s">
        <v>640</v>
      </c>
      <c r="DP14" s="38">
        <f t="shared" si="13"/>
        <v>0</v>
      </c>
      <c r="DQ14" s="173" t="str">
        <f t="shared" si="19"/>
        <v>(Agil) 0</v>
      </c>
      <c r="DR14" s="36" t="str">
        <f t="shared" si="20"/>
        <v/>
      </c>
      <c r="DS14" s="37" t="str">
        <f t="shared" si="21"/>
        <v>(Athl) Strength</v>
      </c>
      <c r="DT14" s="235">
        <f>CharGen!N18</f>
        <v>0</v>
      </c>
      <c r="DU14" s="236">
        <f>IF(DT14=0,0,CharGen!L18)</f>
        <v>0</v>
      </c>
      <c r="DV14" s="154">
        <f t="shared" si="14"/>
        <v>0</v>
      </c>
      <c r="DW14" s="243">
        <f>IF(COUNTIF('Char Sheet p1'!$AP$7:$AP$35,DQ14)=0,0,ROUNDDOWN(SUMIF('Char Sheet p1'!$AP$7:$AP$35,DQ14,'Char Sheet p1'!$AQ$7:$AQ$35)/10,0))</f>
        <v>0</v>
      </c>
      <c r="DX14" s="240">
        <f t="shared" si="22"/>
        <v>0</v>
      </c>
      <c r="DY14" s="36">
        <f t="shared" si="26"/>
        <v>13</v>
      </c>
      <c r="DZ14" s="36" t="str">
        <f t="shared" si="15"/>
        <v/>
      </c>
      <c r="EA14" s="245">
        <v>1</v>
      </c>
      <c r="EB14" s="75" t="str">
        <f>DO106</f>
        <v>Cunning</v>
      </c>
      <c r="EC14" s="246" t="str">
        <f>IF(EA14&gt;$EB$15,"",INDEX($DP$106:$DP$131,SMALL($DZ$106:$DZ$131,EA14),1))</f>
        <v/>
      </c>
      <c r="ED14" s="247" t="str">
        <f t="shared" si="23"/>
        <v/>
      </c>
      <c r="EE14" s="36">
        <f t="shared" si="25"/>
        <v>4</v>
      </c>
    </row>
    <row r="15" spans="1:135" ht="11.25">
      <c r="A15" s="112">
        <v>3</v>
      </c>
      <c r="B15" s="39">
        <v>10</v>
      </c>
      <c r="L15" s="93"/>
      <c r="M15" s="94"/>
      <c r="N15" s="94"/>
      <c r="O15" s="94"/>
      <c r="P15" s="94"/>
      <c r="Q15" s="94"/>
      <c r="R15" s="94"/>
      <c r="S15" s="94"/>
      <c r="T15" s="94"/>
      <c r="U15" s="94"/>
      <c r="V15" s="94" t="s">
        <v>984</v>
      </c>
      <c r="W15" s="94"/>
      <c r="X15" s="94"/>
      <c r="Y15" s="94"/>
      <c r="Z15" s="94"/>
      <c r="AA15" s="94"/>
      <c r="AB15" s="94"/>
      <c r="AC15" s="94"/>
      <c r="AD15" s="95"/>
      <c r="AE15" s="5"/>
      <c r="AG15" s="32" t="s">
        <v>840</v>
      </c>
      <c r="AH15" s="34" t="s">
        <v>880</v>
      </c>
      <c r="AI15" s="34"/>
      <c r="AJ15" s="31"/>
      <c r="AK15" s="31"/>
      <c r="AL15" s="31" t="str">
        <f t="shared" si="0"/>
        <v/>
      </c>
      <c r="AM15" s="31">
        <v>1</v>
      </c>
      <c r="AN15" s="31">
        <f t="shared" si="24"/>
        <v>14</v>
      </c>
      <c r="AO15" s="35" t="s">
        <v>7</v>
      </c>
      <c r="AP15" s="134"/>
      <c r="AQ15" s="47"/>
      <c r="AR15" s="134"/>
      <c r="AS15" s="47"/>
      <c r="AT15" s="134"/>
      <c r="AU15" s="47"/>
      <c r="AV15" s="134"/>
      <c r="AW15" s="47"/>
      <c r="AX15" s="134"/>
      <c r="AY15" s="47"/>
      <c r="AZ15" s="134"/>
      <c r="BA15" s="47"/>
      <c r="BB15" s="134"/>
      <c r="BC15" s="47"/>
      <c r="BD15" s="134"/>
      <c r="BE15" s="47"/>
      <c r="BF15" s="134"/>
      <c r="BG15" s="47"/>
      <c r="BH15" s="134"/>
      <c r="BI15" s="47"/>
      <c r="BJ15" s="134"/>
      <c r="BK15" s="47"/>
      <c r="BL15" s="134"/>
      <c r="BM15" s="47"/>
      <c r="BN15" s="134"/>
      <c r="BO15" s="47"/>
      <c r="BP15" s="134"/>
      <c r="BQ15" s="47"/>
      <c r="BR15" s="134"/>
      <c r="BS15" s="47"/>
      <c r="BT15" s="134"/>
      <c r="BU15" s="47"/>
      <c r="BV15" s="134"/>
      <c r="BW15" s="47"/>
      <c r="BX15" s="134"/>
      <c r="BY15" s="47"/>
      <c r="BZ15" s="134"/>
      <c r="CA15" s="47"/>
      <c r="CB15" s="120"/>
      <c r="CC15" s="120"/>
      <c r="CD15" s="120"/>
      <c r="CE15" s="120"/>
      <c r="CF15" s="120"/>
      <c r="CG15" s="120"/>
      <c r="CH15" s="120"/>
      <c r="CI15" s="120"/>
      <c r="CJ15" s="120"/>
      <c r="CK15" s="179">
        <f t="shared" si="1"/>
        <v>14</v>
      </c>
      <c r="CL15" s="37" t="str">
        <f t="shared" ca="1" si="2"/>
        <v>Blood of the Rhoyne</v>
      </c>
      <c r="CM15" s="36">
        <f t="shared" si="16"/>
        <v>14</v>
      </c>
      <c r="CN15" s="37" t="str">
        <f ca="1">IF($AN15&gt;CN$1,"",INDEX($AG$2:$AG$226,SMALL(CM$2:$CM$226,$AN15),1))</f>
        <v>Blood of the Wildlings</v>
      </c>
      <c r="CO15" s="36">
        <f t="shared" si="17"/>
        <v>14</v>
      </c>
      <c r="CP15" s="37" t="str">
        <f t="shared" ca="1" si="18"/>
        <v>Blood of the Wildlings</v>
      </c>
      <c r="CS15" s="28">
        <f t="shared" si="3"/>
        <v>14</v>
      </c>
      <c r="CT15" s="37" t="str">
        <f t="shared" ca="1" si="4"/>
        <v>Blood of the Wildlings</v>
      </c>
      <c r="CU15" s="28">
        <f t="shared" si="3"/>
        <v>14</v>
      </c>
      <c r="CV15" s="37" t="str">
        <f t="shared" ca="1" si="5"/>
        <v>Blood of the Wildlings</v>
      </c>
      <c r="CW15" s="28">
        <f t="shared" si="6"/>
        <v>14</v>
      </c>
      <c r="CX15" s="37" t="str">
        <f t="shared" ca="1" si="7"/>
        <v>Blood of the Wildlings</v>
      </c>
      <c r="CY15" s="28">
        <f t="shared" si="8"/>
        <v>14</v>
      </c>
      <c r="CZ15" s="37" t="str">
        <f t="shared" ca="1" si="7"/>
        <v>Blood of the Wildlings</v>
      </c>
      <c r="DA15" s="28">
        <f t="shared" si="9"/>
        <v>14</v>
      </c>
      <c r="DB15" s="37" t="str">
        <f t="shared" ca="1" si="10"/>
        <v>Blood of the Wildlings</v>
      </c>
      <c r="DC15" s="28">
        <f t="shared" si="11"/>
        <v>14</v>
      </c>
      <c r="DD15" s="37" t="str">
        <f t="shared" ca="1" si="12"/>
        <v>Blood of the Wildlings</v>
      </c>
      <c r="DN15" s="32">
        <v>14</v>
      </c>
      <c r="DO15" s="34" t="s">
        <v>640</v>
      </c>
      <c r="DP15" s="38">
        <f t="shared" si="13"/>
        <v>0</v>
      </c>
      <c r="DQ15" s="173" t="str">
        <f t="shared" si="19"/>
        <v>(Agil) 0</v>
      </c>
      <c r="DR15" s="36" t="str">
        <f t="shared" si="20"/>
        <v/>
      </c>
      <c r="DS15" s="37" t="str">
        <f t="shared" si="21"/>
        <v>(Athl) Swim</v>
      </c>
      <c r="DT15" s="235">
        <f>CharGen!N19</f>
        <v>0</v>
      </c>
      <c r="DU15" s="236">
        <f>IF(DT15=0,0,CharGen!L19)</f>
        <v>0</v>
      </c>
      <c r="DV15" s="154">
        <f t="shared" si="14"/>
        <v>0</v>
      </c>
      <c r="DW15" s="243">
        <f>IF(COUNTIF('Char Sheet p1'!$AP$7:$AP$35,DQ15)=0,0,ROUNDDOWN(SUMIF('Char Sheet p1'!$AP$7:$AP$35,DQ15,'Char Sheet p1'!$AQ$7:$AQ$35)/10,0))</f>
        <v>0</v>
      </c>
      <c r="DX15" s="240">
        <f t="shared" si="22"/>
        <v>0</v>
      </c>
      <c r="DY15" s="36">
        <f t="shared" si="26"/>
        <v>14</v>
      </c>
      <c r="DZ15" s="36" t="str">
        <f t="shared" si="15"/>
        <v/>
      </c>
      <c r="EA15" s="36">
        <v>2</v>
      </c>
      <c r="EB15" s="78">
        <f>COUNT(DZ106:DZ131)</f>
        <v>0</v>
      </c>
      <c r="EC15" s="32" t="str">
        <f>IF(EA15&gt;$EB$15,"",INDEX($DP$106:$DP$131,SMALL($DZ$106:$DZ$131,EA15),1))</f>
        <v/>
      </c>
      <c r="ED15" s="39" t="str">
        <f t="shared" si="23"/>
        <v/>
      </c>
      <c r="EE15" s="36">
        <f t="shared" si="25"/>
        <v>4</v>
      </c>
    </row>
    <row r="16" spans="1:135">
      <c r="A16" s="112">
        <v>4</v>
      </c>
      <c r="B16" s="39">
        <v>40</v>
      </c>
      <c r="L16" s="93"/>
      <c r="M16" s="94"/>
      <c r="N16" s="94"/>
      <c r="O16" s="94"/>
      <c r="P16" s="94"/>
      <c r="Q16" s="94"/>
      <c r="R16" s="94"/>
      <c r="S16" s="94"/>
      <c r="T16" s="94"/>
      <c r="U16" s="94"/>
      <c r="V16" s="94" t="s">
        <v>985</v>
      </c>
      <c r="W16" s="94"/>
      <c r="X16" s="94"/>
      <c r="Y16" s="94"/>
      <c r="Z16" s="94"/>
      <c r="AA16" s="94"/>
      <c r="AB16" s="94"/>
      <c r="AC16" s="94"/>
      <c r="AD16" s="95"/>
      <c r="AE16" s="5"/>
      <c r="AG16" s="32" t="s">
        <v>829</v>
      </c>
      <c r="AH16" s="34" t="s">
        <v>879</v>
      </c>
      <c r="AI16" s="34"/>
      <c r="AJ16" s="31" t="s">
        <v>970</v>
      </c>
      <c r="AK16" s="31"/>
      <c r="AL16" s="31">
        <f t="shared" si="0"/>
        <v>0</v>
      </c>
      <c r="AM16" s="31">
        <f t="shared" ref="AM16:AM22" si="27">N(heritage=0)</f>
        <v>1</v>
      </c>
      <c r="AN16" s="31">
        <f t="shared" si="24"/>
        <v>15</v>
      </c>
      <c r="AO16" s="35" t="s">
        <v>946</v>
      </c>
      <c r="AP16" s="134"/>
      <c r="AQ16" s="47"/>
      <c r="AR16" s="134"/>
      <c r="AS16" s="47"/>
      <c r="AT16" s="134"/>
      <c r="AU16" s="47"/>
      <c r="AV16" s="134"/>
      <c r="AW16" s="47"/>
      <c r="AX16" s="134"/>
      <c r="AY16" s="47"/>
      <c r="AZ16" s="134"/>
      <c r="BA16" s="47"/>
      <c r="BB16" s="134"/>
      <c r="BC16" s="47"/>
      <c r="BD16" s="134"/>
      <c r="BE16" s="47"/>
      <c r="BF16" s="134"/>
      <c r="BG16" s="47"/>
      <c r="BH16" s="134"/>
      <c r="BI16" s="47"/>
      <c r="BJ16" s="134"/>
      <c r="BK16" s="47"/>
      <c r="BL16" s="134"/>
      <c r="BM16" s="47"/>
      <c r="BN16" s="134"/>
      <c r="BO16" s="47"/>
      <c r="BP16" s="134"/>
      <c r="BQ16" s="47"/>
      <c r="BR16" s="134"/>
      <c r="BS16" s="47"/>
      <c r="BT16" s="134"/>
      <c r="BU16" s="47"/>
      <c r="BV16" s="134"/>
      <c r="BW16" s="47"/>
      <c r="BX16" s="134"/>
      <c r="BY16" s="47"/>
      <c r="BZ16" s="134"/>
      <c r="CA16" s="47"/>
      <c r="CB16" s="120"/>
      <c r="CC16" s="120"/>
      <c r="CD16" s="120"/>
      <c r="CE16" s="120"/>
      <c r="CF16" s="120"/>
      <c r="CG16" s="120"/>
      <c r="CH16" s="120"/>
      <c r="CI16" s="120"/>
      <c r="CJ16" s="120"/>
      <c r="CK16" s="179">
        <f t="shared" si="1"/>
        <v>15</v>
      </c>
      <c r="CL16" s="37" t="str">
        <f t="shared" ca="1" si="2"/>
        <v>Blood of the Wildlings</v>
      </c>
      <c r="CM16" s="36">
        <f t="shared" si="16"/>
        <v>15</v>
      </c>
      <c r="CN16" s="37" t="str">
        <f ca="1">IF($AN16&gt;CN$1,"",INDEX($AG$2:$AG$226,SMALL(CM$2:$CM$226,$AN16),1))</f>
        <v>Blood of Valyria</v>
      </c>
      <c r="CO16" s="36">
        <f t="shared" si="17"/>
        <v>15</v>
      </c>
      <c r="CP16" s="37" t="str">
        <f t="shared" ca="1" si="18"/>
        <v>Blood of Valyria</v>
      </c>
      <c r="CS16" s="28">
        <f t="shared" si="3"/>
        <v>15</v>
      </c>
      <c r="CT16" s="37" t="str">
        <f t="shared" ca="1" si="4"/>
        <v>Blood of Valyria</v>
      </c>
      <c r="CU16" s="28">
        <f t="shared" si="3"/>
        <v>15</v>
      </c>
      <c r="CV16" s="37" t="str">
        <f t="shared" ca="1" si="5"/>
        <v>Blood of Valyria</v>
      </c>
      <c r="CW16" s="28">
        <f t="shared" si="6"/>
        <v>15</v>
      </c>
      <c r="CX16" s="37" t="str">
        <f t="shared" ca="1" si="7"/>
        <v>Blood of Valyria</v>
      </c>
      <c r="CY16" s="28">
        <f t="shared" si="8"/>
        <v>15</v>
      </c>
      <c r="CZ16" s="37" t="str">
        <f t="shared" ca="1" si="7"/>
        <v>Blood of Valyria</v>
      </c>
      <c r="DA16" s="28">
        <f t="shared" si="9"/>
        <v>15</v>
      </c>
      <c r="DB16" s="37" t="str">
        <f t="shared" ca="1" si="10"/>
        <v>Blood of Valyria</v>
      </c>
      <c r="DC16" s="28">
        <f t="shared" si="11"/>
        <v>15</v>
      </c>
      <c r="DD16" s="37" t="str">
        <f t="shared" ca="1" si="12"/>
        <v>Blood of Valyria</v>
      </c>
      <c r="DN16" s="32">
        <v>15</v>
      </c>
      <c r="DO16" s="34" t="s">
        <v>640</v>
      </c>
      <c r="DP16" s="38">
        <f t="shared" si="13"/>
        <v>0</v>
      </c>
      <c r="DQ16" s="173" t="str">
        <f t="shared" si="19"/>
        <v>(Agil) 0</v>
      </c>
      <c r="DR16" s="36" t="str">
        <f t="shared" si="20"/>
        <v/>
      </c>
      <c r="DS16" s="37" t="str">
        <f t="shared" si="21"/>
        <v>(Athl) Throw</v>
      </c>
      <c r="DT16" s="235">
        <f>CharGen!N20</f>
        <v>0</v>
      </c>
      <c r="DU16" s="236">
        <f>IF(DT16=0,0,CharGen!L20)</f>
        <v>0</v>
      </c>
      <c r="DV16" s="154">
        <f t="shared" si="14"/>
        <v>0</v>
      </c>
      <c r="DW16" s="243">
        <f>IF(COUNTIF('Char Sheet p1'!$AP$7:$AP$35,DQ16)=0,0,ROUNDDOWN(SUMIF('Char Sheet p1'!$AP$7:$AP$35,DQ16,'Char Sheet p1'!$AQ$7:$AQ$35)/10,0))</f>
        <v>0</v>
      </c>
      <c r="DX16" s="240">
        <f t="shared" si="22"/>
        <v>0</v>
      </c>
      <c r="DY16" s="36">
        <f t="shared" si="26"/>
        <v>15</v>
      </c>
      <c r="DZ16" s="36" t="str">
        <f t="shared" si="15"/>
        <v/>
      </c>
      <c r="EA16" s="55">
        <v>3</v>
      </c>
      <c r="EC16" s="41" t="str">
        <f>IF(EA16&gt;$EB$15,"",INDEX($DP$106:$DP$131,SMALL($DZ$106:$DZ$131,EA16),1))</f>
        <v/>
      </c>
      <c r="ED16" s="43" t="str">
        <f t="shared" si="23"/>
        <v/>
      </c>
      <c r="EE16" s="36">
        <f t="shared" si="25"/>
        <v>4</v>
      </c>
    </row>
    <row r="17" spans="1:135" ht="11.25">
      <c r="A17" s="112">
        <v>5</v>
      </c>
      <c r="B17" s="39">
        <v>70</v>
      </c>
      <c r="L17" s="93"/>
      <c r="M17" s="94"/>
      <c r="N17" s="94"/>
      <c r="O17" s="94"/>
      <c r="P17" s="94"/>
      <c r="Q17" s="94"/>
      <c r="R17" s="94"/>
      <c r="S17" s="94"/>
      <c r="T17" s="94"/>
      <c r="U17" s="94"/>
      <c r="V17" s="94"/>
      <c r="W17" s="94"/>
      <c r="X17" s="94"/>
      <c r="Y17" s="94"/>
      <c r="Z17" s="94"/>
      <c r="AA17" s="94"/>
      <c r="AB17" s="94"/>
      <c r="AC17" s="94"/>
      <c r="AD17" s="95"/>
      <c r="AE17" s="5"/>
      <c r="AG17" s="32" t="s">
        <v>827</v>
      </c>
      <c r="AH17" s="34" t="s">
        <v>879</v>
      </c>
      <c r="AI17" s="34"/>
      <c r="AJ17" s="31" t="s">
        <v>970</v>
      </c>
      <c r="AK17" s="31"/>
      <c r="AL17" s="31">
        <f t="shared" si="0"/>
        <v>0</v>
      </c>
      <c r="AM17" s="31">
        <f t="shared" si="27"/>
        <v>1</v>
      </c>
      <c r="AN17" s="31">
        <f t="shared" si="24"/>
        <v>16</v>
      </c>
      <c r="AO17" s="35" t="s">
        <v>8</v>
      </c>
      <c r="AP17" s="134"/>
      <c r="AQ17" s="47"/>
      <c r="AR17" s="134"/>
      <c r="AS17" s="47"/>
      <c r="AT17" s="134"/>
      <c r="AU17" s="47"/>
      <c r="AV17" s="134"/>
      <c r="AW17" s="47"/>
      <c r="AX17" s="134"/>
      <c r="AY17" s="47"/>
      <c r="AZ17" s="134"/>
      <c r="BA17" s="47"/>
      <c r="BB17" s="134"/>
      <c r="BC17" s="47"/>
      <c r="BD17" s="134"/>
      <c r="BE17" s="47"/>
      <c r="BF17" s="134"/>
      <c r="BG17" s="47"/>
      <c r="BH17" s="134"/>
      <c r="BI17" s="47"/>
      <c r="BJ17" s="134"/>
      <c r="BK17" s="47"/>
      <c r="BL17" s="134"/>
      <c r="BM17" s="47"/>
      <c r="BN17" s="134"/>
      <c r="BO17" s="47"/>
      <c r="BP17" s="134"/>
      <c r="BQ17" s="47"/>
      <c r="BR17" s="134"/>
      <c r="BS17" s="47"/>
      <c r="BT17" s="134"/>
      <c r="BU17" s="47"/>
      <c r="BV17" s="134"/>
      <c r="BW17" s="47"/>
      <c r="BX17" s="134"/>
      <c r="BY17" s="47"/>
      <c r="BZ17" s="134"/>
      <c r="CA17" s="47"/>
      <c r="CB17" s="120"/>
      <c r="CC17" s="120"/>
      <c r="CD17" s="120"/>
      <c r="CE17" s="120"/>
      <c r="CF17" s="120"/>
      <c r="CG17" s="120"/>
      <c r="CH17" s="120"/>
      <c r="CI17" s="120"/>
      <c r="CJ17" s="120"/>
      <c r="CK17" s="179">
        <f t="shared" si="1"/>
        <v>16</v>
      </c>
      <c r="CL17" s="37" t="str">
        <f t="shared" ca="1" si="2"/>
        <v>Blood of Valyria</v>
      </c>
      <c r="CM17" s="36">
        <f t="shared" si="16"/>
        <v>16</v>
      </c>
      <c r="CN17" s="37" t="str">
        <f ca="1">IF($AN17&gt;CN$1,"",INDEX($AG$2:$AG$226,SMALL(CM$2:$CM$226,$AN17),1))</f>
        <v>Brother of Night's Watch (Builder)</v>
      </c>
      <c r="CO17" s="36">
        <f t="shared" si="17"/>
        <v>16</v>
      </c>
      <c r="CP17" s="37" t="str">
        <f t="shared" ca="1" si="18"/>
        <v>Brother of Night's Watch (Builder)</v>
      </c>
      <c r="CS17" s="28">
        <f t="shared" si="3"/>
        <v>16</v>
      </c>
      <c r="CT17" s="37" t="str">
        <f t="shared" ca="1" si="4"/>
        <v>Brother of Night's Watch (Builder)</v>
      </c>
      <c r="CU17" s="28">
        <f t="shared" si="3"/>
        <v>16</v>
      </c>
      <c r="CV17" s="37" t="str">
        <f t="shared" ca="1" si="5"/>
        <v>Brother of Night's Watch (Builder)</v>
      </c>
      <c r="CW17" s="28">
        <f t="shared" si="6"/>
        <v>16</v>
      </c>
      <c r="CX17" s="37" t="str">
        <f t="shared" ca="1" si="7"/>
        <v>Brother of Night's Watch (Builder)</v>
      </c>
      <c r="CY17" s="28">
        <f t="shared" si="8"/>
        <v>16</v>
      </c>
      <c r="CZ17" s="37" t="str">
        <f t="shared" ca="1" si="7"/>
        <v>Brother of Night's Watch (Builder)</v>
      </c>
      <c r="DA17" s="28">
        <f t="shared" si="9"/>
        <v>16</v>
      </c>
      <c r="DB17" s="37" t="str">
        <f t="shared" ca="1" si="10"/>
        <v>Brother of Night's Watch (Builder)</v>
      </c>
      <c r="DC17" s="28">
        <f t="shared" si="11"/>
        <v>16</v>
      </c>
      <c r="DD17" s="37" t="str">
        <f t="shared" ca="1" si="12"/>
        <v>Brother of Night's Watch (Builder)</v>
      </c>
      <c r="DN17" s="32">
        <v>16</v>
      </c>
      <c r="DO17" s="34" t="s">
        <v>640</v>
      </c>
      <c r="DP17" s="38">
        <f t="shared" si="13"/>
        <v>0</v>
      </c>
      <c r="DQ17" s="173" t="str">
        <f t="shared" si="19"/>
        <v>(Agil) 0</v>
      </c>
      <c r="DR17" s="36" t="str">
        <f t="shared" si="20"/>
        <v/>
      </c>
      <c r="DS17" s="37" t="str">
        <f t="shared" si="21"/>
        <v>(Awar) Empathy</v>
      </c>
      <c r="DT17" s="235">
        <f>CharGen!N21</f>
        <v>0</v>
      </c>
      <c r="DU17" s="236">
        <f>IF(DT17=0,0,CharGen!L21)</f>
        <v>0</v>
      </c>
      <c r="DV17" s="154">
        <f t="shared" si="14"/>
        <v>0</v>
      </c>
      <c r="DW17" s="243">
        <f>IF(COUNTIF('Char Sheet p1'!$AP$7:$AP$35,DQ17)=0,0,ROUNDDOWN(SUMIF('Char Sheet p1'!$AP$7:$AP$35,DQ17,'Char Sheet p1'!$AQ$7:$AQ$35)/10,0))</f>
        <v>0</v>
      </c>
      <c r="DX17" s="240">
        <f t="shared" si="22"/>
        <v>0</v>
      </c>
      <c r="DY17" s="36">
        <f t="shared" si="26"/>
        <v>16</v>
      </c>
      <c r="DZ17" s="36" t="str">
        <f t="shared" si="15"/>
        <v/>
      </c>
      <c r="EA17" s="245">
        <v>1</v>
      </c>
      <c r="EB17" s="75" t="str">
        <f>DO132</f>
        <v>Deception</v>
      </c>
      <c r="EC17" s="246" t="str">
        <f>IF(EA17&gt;$EB$18,"",INDEX($DP$132:$DP$157,SMALL($DZ$132:$DZ$157,EA17),1))</f>
        <v/>
      </c>
      <c r="ED17" s="247" t="str">
        <f t="shared" si="23"/>
        <v/>
      </c>
      <c r="EE17" s="36">
        <f t="shared" si="25"/>
        <v>4</v>
      </c>
    </row>
    <row r="18" spans="1:135" ht="11.25">
      <c r="A18" s="112">
        <v>6</v>
      </c>
      <c r="B18" s="39">
        <v>100</v>
      </c>
      <c r="L18" s="93"/>
      <c r="M18" s="94"/>
      <c r="N18" s="94"/>
      <c r="O18" s="94"/>
      <c r="P18" s="94"/>
      <c r="Q18" s="94"/>
      <c r="R18" s="94"/>
      <c r="S18" s="94"/>
      <c r="T18" s="94"/>
      <c r="U18" s="94"/>
      <c r="V18" s="94"/>
      <c r="W18" s="94"/>
      <c r="X18" s="94"/>
      <c r="Y18" s="94"/>
      <c r="Z18" s="94"/>
      <c r="AA18" s="94"/>
      <c r="AB18" s="94"/>
      <c r="AC18" s="94"/>
      <c r="AD18" s="95"/>
      <c r="AE18" s="5"/>
      <c r="AG18" s="32" t="s">
        <v>828</v>
      </c>
      <c r="AH18" s="34" t="s">
        <v>879</v>
      </c>
      <c r="AI18" s="34"/>
      <c r="AJ18" s="31"/>
      <c r="AK18" s="31"/>
      <c r="AL18" s="31">
        <f t="shared" si="0"/>
        <v>0</v>
      </c>
      <c r="AM18" s="31">
        <f t="shared" si="27"/>
        <v>1</v>
      </c>
      <c r="AN18" s="31">
        <f t="shared" si="24"/>
        <v>17</v>
      </c>
      <c r="AO18" s="35" t="s">
        <v>9</v>
      </c>
      <c r="AP18" s="134"/>
      <c r="AQ18" s="47"/>
      <c r="AR18" s="134"/>
      <c r="AS18" s="47"/>
      <c r="AT18" s="134"/>
      <c r="AU18" s="47"/>
      <c r="AV18" s="134"/>
      <c r="AW18" s="47"/>
      <c r="AX18" s="134"/>
      <c r="AY18" s="47"/>
      <c r="AZ18" s="134"/>
      <c r="BA18" s="47"/>
      <c r="BB18" s="134"/>
      <c r="BC18" s="47">
        <v>2</v>
      </c>
      <c r="BD18" s="134"/>
      <c r="BE18" s="47"/>
      <c r="BF18" s="134"/>
      <c r="BG18" s="47"/>
      <c r="BH18" s="134"/>
      <c r="BI18" s="47"/>
      <c r="BJ18" s="134"/>
      <c r="BK18" s="47"/>
      <c r="BL18" s="134"/>
      <c r="BM18" s="47"/>
      <c r="BN18" s="134"/>
      <c r="BO18" s="47"/>
      <c r="BP18" s="134"/>
      <c r="BQ18" s="47"/>
      <c r="BR18" s="134"/>
      <c r="BS18" s="47"/>
      <c r="BT18" s="134"/>
      <c r="BU18" s="47"/>
      <c r="BV18" s="134"/>
      <c r="BW18" s="47"/>
      <c r="BX18" s="134"/>
      <c r="BY18" s="47"/>
      <c r="BZ18" s="134"/>
      <c r="CA18" s="47"/>
      <c r="CB18" s="120"/>
      <c r="CC18" s="120"/>
      <c r="CD18" s="120"/>
      <c r="CE18" s="120"/>
      <c r="CF18" s="120">
        <v>2</v>
      </c>
      <c r="CG18" s="120"/>
      <c r="CH18" s="120"/>
      <c r="CI18" s="120"/>
      <c r="CJ18" s="120"/>
      <c r="CK18" s="179">
        <f t="shared" si="1"/>
        <v>17</v>
      </c>
      <c r="CL18" s="37" t="str">
        <f t="shared" ca="1" si="2"/>
        <v>Brother of Night's Watch (Builder)</v>
      </c>
      <c r="CM18" s="36">
        <f t="shared" si="16"/>
        <v>17</v>
      </c>
      <c r="CN18" s="37" t="str">
        <f ca="1">IF($AN18&gt;CN$1,"",INDEX($AG$2:$AG$226,SMALL(CM$2:$CM$226,$AN18),1))</f>
        <v>Brother of Night's Watch (Ranger)</v>
      </c>
      <c r="CO18" s="36">
        <f t="shared" si="17"/>
        <v>17</v>
      </c>
      <c r="CP18" s="37" t="str">
        <f t="shared" ca="1" si="18"/>
        <v>Brother of Night's Watch (Ranger)</v>
      </c>
      <c r="CS18" s="28">
        <f t="shared" si="3"/>
        <v>17</v>
      </c>
      <c r="CT18" s="37" t="str">
        <f t="shared" ca="1" si="4"/>
        <v>Brother of Night's Watch (Ranger)</v>
      </c>
      <c r="CU18" s="28">
        <f t="shared" si="3"/>
        <v>17</v>
      </c>
      <c r="CV18" s="37" t="str">
        <f t="shared" ca="1" si="5"/>
        <v>Brother of Night's Watch (Ranger)</v>
      </c>
      <c r="CW18" s="28">
        <f t="shared" si="6"/>
        <v>17</v>
      </c>
      <c r="CX18" s="37" t="str">
        <f t="shared" ca="1" si="7"/>
        <v>Brother of Night's Watch (Ranger)</v>
      </c>
      <c r="CY18" s="28">
        <f t="shared" si="8"/>
        <v>17</v>
      </c>
      <c r="CZ18" s="37" t="str">
        <f t="shared" ca="1" si="7"/>
        <v>Brother of Night's Watch (Ranger)</v>
      </c>
      <c r="DA18" s="28">
        <f t="shared" si="9"/>
        <v>17</v>
      </c>
      <c r="DB18" s="37" t="str">
        <f t="shared" ca="1" si="10"/>
        <v>Brother of Night's Watch (Ranger)</v>
      </c>
      <c r="DC18" s="28">
        <f t="shared" si="11"/>
        <v>17</v>
      </c>
      <c r="DD18" s="37" t="str">
        <f t="shared" ca="1" si="12"/>
        <v>Brother of Night's Watch (Ranger)</v>
      </c>
      <c r="DN18" s="32">
        <v>17</v>
      </c>
      <c r="DO18" s="34" t="s">
        <v>640</v>
      </c>
      <c r="DP18" s="38">
        <f t="shared" si="13"/>
        <v>0</v>
      </c>
      <c r="DQ18" s="173" t="str">
        <f t="shared" si="19"/>
        <v>(Agil) 0</v>
      </c>
      <c r="DR18" s="36" t="str">
        <f t="shared" si="20"/>
        <v/>
      </c>
      <c r="DS18" s="37" t="str">
        <f t="shared" si="21"/>
        <v>(Awar) Notice</v>
      </c>
      <c r="DT18" s="235">
        <f>CharGen!N22</f>
        <v>0</v>
      </c>
      <c r="DU18" s="236">
        <f>IF(DT18=0,0,CharGen!L22)</f>
        <v>0</v>
      </c>
      <c r="DV18" s="154">
        <f t="shared" si="14"/>
        <v>0</v>
      </c>
      <c r="DW18" s="243">
        <f>IF(COUNTIF('Char Sheet p1'!$AP$7:$AP$35,DQ18)=0,0,ROUNDDOWN(SUMIF('Char Sheet p1'!$AP$7:$AP$35,DQ18,'Char Sheet p1'!$AQ$7:$AQ$35)/10,0))</f>
        <v>0</v>
      </c>
      <c r="DX18" s="240">
        <f t="shared" si="22"/>
        <v>0</v>
      </c>
      <c r="DY18" s="36">
        <f t="shared" si="26"/>
        <v>17</v>
      </c>
      <c r="DZ18" s="36" t="str">
        <f t="shared" si="15"/>
        <v/>
      </c>
      <c r="EA18" s="36">
        <v>2</v>
      </c>
      <c r="EB18" s="78">
        <f>COUNT(DZ132:DZ157)</f>
        <v>0</v>
      </c>
      <c r="EC18" s="32" t="str">
        <f>IF(EA18&gt;$EB$18,"",INDEX($DP$132:$DP$157,SMALL($DZ$132:$DZ$157,EA18),1))</f>
        <v/>
      </c>
      <c r="ED18" s="39" t="str">
        <f t="shared" si="23"/>
        <v/>
      </c>
      <c r="EE18" s="36">
        <f t="shared" si="25"/>
        <v>4</v>
      </c>
    </row>
    <row r="19" spans="1:135">
      <c r="A19" s="113">
        <v>7</v>
      </c>
      <c r="B19" s="43">
        <v>130</v>
      </c>
      <c r="L19" s="93"/>
      <c r="M19" s="94"/>
      <c r="N19" s="94"/>
      <c r="O19" s="94"/>
      <c r="P19" s="94"/>
      <c r="Q19" s="94"/>
      <c r="R19" s="94"/>
      <c r="S19" s="94"/>
      <c r="T19" s="94"/>
      <c r="U19" s="94"/>
      <c r="V19" s="94"/>
      <c r="W19" s="94"/>
      <c r="X19" s="94"/>
      <c r="Y19" s="94"/>
      <c r="Z19" s="94"/>
      <c r="AA19" s="94"/>
      <c r="AB19" s="94"/>
      <c r="AC19" s="94"/>
      <c r="AD19" s="95"/>
      <c r="AE19" s="5"/>
      <c r="AG19" s="32" t="s">
        <v>830</v>
      </c>
      <c r="AH19" s="34" t="s">
        <v>879</v>
      </c>
      <c r="AI19" s="34"/>
      <c r="AJ19" s="31"/>
      <c r="AK19" s="31"/>
      <c r="AL19" s="31">
        <f t="shared" si="0"/>
        <v>0</v>
      </c>
      <c r="AM19" s="31">
        <f t="shared" si="27"/>
        <v>1</v>
      </c>
      <c r="AN19" s="31">
        <f t="shared" si="24"/>
        <v>18</v>
      </c>
      <c r="AO19" s="35" t="s">
        <v>10</v>
      </c>
      <c r="AP19" s="134"/>
      <c r="AQ19" s="47"/>
      <c r="AR19" s="134"/>
      <c r="AS19" s="47"/>
      <c r="AT19" s="134"/>
      <c r="AU19" s="47"/>
      <c r="AV19" s="134"/>
      <c r="AW19" s="47"/>
      <c r="AX19" s="134"/>
      <c r="AY19" s="47"/>
      <c r="AZ19" s="134"/>
      <c r="BA19" s="47"/>
      <c r="BB19" s="134"/>
      <c r="BC19" s="47"/>
      <c r="BD19" s="134"/>
      <c r="BE19" s="47"/>
      <c r="BF19" s="134"/>
      <c r="BG19" s="47"/>
      <c r="BH19" s="134"/>
      <c r="BI19" s="47"/>
      <c r="BJ19" s="134"/>
      <c r="BK19" s="47"/>
      <c r="BL19" s="134"/>
      <c r="BM19" s="47"/>
      <c r="BN19" s="134"/>
      <c r="BO19" s="47"/>
      <c r="BP19" s="134"/>
      <c r="BQ19" s="47"/>
      <c r="BR19" s="134"/>
      <c r="BS19" s="47"/>
      <c r="BT19" s="134"/>
      <c r="BU19" s="47"/>
      <c r="BV19" s="134"/>
      <c r="BW19" s="47"/>
      <c r="BX19" s="134"/>
      <c r="BY19" s="47"/>
      <c r="BZ19" s="134"/>
      <c r="CA19" s="47"/>
      <c r="CB19" s="120"/>
      <c r="CC19" s="120"/>
      <c r="CD19" s="120"/>
      <c r="CE19" s="120"/>
      <c r="CF19" s="120"/>
      <c r="CG19" s="120"/>
      <c r="CH19" s="120"/>
      <c r="CI19" s="120"/>
      <c r="CJ19" s="120"/>
      <c r="CK19" s="179">
        <f t="shared" si="1"/>
        <v>18</v>
      </c>
      <c r="CL19" s="37" t="str">
        <f t="shared" ca="1" si="2"/>
        <v>Brother of Night's Watch (Ranger)</v>
      </c>
      <c r="CM19" s="36">
        <f t="shared" si="16"/>
        <v>18</v>
      </c>
      <c r="CN19" s="37" t="str">
        <f ca="1">IF($AN19&gt;CN$1,"",INDEX($AG$2:$AG$226,SMALL(CM$2:$CM$226,$AN19),1))</f>
        <v>Brother of Night's Watch (Steward)</v>
      </c>
      <c r="CO19" s="36">
        <f t="shared" si="17"/>
        <v>18</v>
      </c>
      <c r="CP19" s="37" t="str">
        <f t="shared" ca="1" si="18"/>
        <v>Brother of Night's Watch (Steward)</v>
      </c>
      <c r="CS19" s="28">
        <f t="shared" si="3"/>
        <v>18</v>
      </c>
      <c r="CT19" s="37" t="str">
        <f t="shared" ca="1" si="4"/>
        <v>Brother of Night's Watch (Steward)</v>
      </c>
      <c r="CU19" s="28">
        <f t="shared" si="3"/>
        <v>18</v>
      </c>
      <c r="CV19" s="37" t="str">
        <f t="shared" ca="1" si="5"/>
        <v>Brother of Night's Watch (Steward)</v>
      </c>
      <c r="CW19" s="28">
        <f t="shared" si="6"/>
        <v>18</v>
      </c>
      <c r="CX19" s="37" t="str">
        <f t="shared" ca="1" si="7"/>
        <v>Brother of Night's Watch (Steward)</v>
      </c>
      <c r="CY19" s="28">
        <f t="shared" si="8"/>
        <v>18</v>
      </c>
      <c r="CZ19" s="37" t="str">
        <f t="shared" ca="1" si="7"/>
        <v>Brother of Night's Watch (Steward)</v>
      </c>
      <c r="DA19" s="28">
        <f t="shared" si="9"/>
        <v>18</v>
      </c>
      <c r="DB19" s="37" t="str">
        <f t="shared" ca="1" si="10"/>
        <v>Brother of Night's Watch (Steward)</v>
      </c>
      <c r="DC19" s="28">
        <f t="shared" si="11"/>
        <v>18</v>
      </c>
      <c r="DD19" s="37" t="str">
        <f t="shared" ca="1" si="12"/>
        <v>Brother of Night's Watch (Steward)</v>
      </c>
      <c r="DN19" s="32">
        <v>18</v>
      </c>
      <c r="DO19" s="34" t="s">
        <v>640</v>
      </c>
      <c r="DP19" s="38">
        <f t="shared" si="13"/>
        <v>0</v>
      </c>
      <c r="DQ19" s="173" t="str">
        <f t="shared" si="19"/>
        <v>(Agil) 0</v>
      </c>
      <c r="DR19" s="36" t="str">
        <f t="shared" si="20"/>
        <v/>
      </c>
      <c r="DS19" s="37" t="str">
        <f t="shared" si="21"/>
        <v>(Cunn) Decipher</v>
      </c>
      <c r="DT19" s="235">
        <f>CharGen!N23</f>
        <v>0</v>
      </c>
      <c r="DU19" s="236">
        <f>IF(DT19=0,0,CharGen!L23)</f>
        <v>0</v>
      </c>
      <c r="DV19" s="154">
        <f t="shared" si="14"/>
        <v>0</v>
      </c>
      <c r="DW19" s="243">
        <f>IF(COUNTIF('Char Sheet p1'!$AP$7:$AP$35,DQ19)=0,0,ROUNDDOWN(SUMIF('Char Sheet p1'!$AP$7:$AP$35,DQ19,'Char Sheet p1'!$AQ$7:$AQ$35)/10,0))</f>
        <v>0</v>
      </c>
      <c r="DX19" s="240">
        <f t="shared" si="22"/>
        <v>0</v>
      </c>
      <c r="DY19" s="36">
        <f t="shared" si="26"/>
        <v>18</v>
      </c>
      <c r="DZ19" s="36" t="str">
        <f t="shared" si="15"/>
        <v/>
      </c>
      <c r="EA19" s="55">
        <v>3</v>
      </c>
      <c r="EC19" s="41" t="str">
        <f>IF(EA19&gt;$EB$18,"",INDEX($DP$132:$DP$157,SMALL($DZ$132:$DZ$157,EA19),1))</f>
        <v/>
      </c>
      <c r="ED19" s="43" t="str">
        <f t="shared" si="23"/>
        <v/>
      </c>
      <c r="EE19" s="36">
        <f t="shared" si="25"/>
        <v>4</v>
      </c>
    </row>
    <row r="20" spans="1:135" ht="11.25">
      <c r="L20" s="93"/>
      <c r="M20" s="94"/>
      <c r="N20" s="94"/>
      <c r="O20" s="94"/>
      <c r="P20" s="94"/>
      <c r="Q20" s="94"/>
      <c r="R20" s="94"/>
      <c r="S20" s="94"/>
      <c r="T20" s="94"/>
      <c r="U20" s="94"/>
      <c r="V20" s="94"/>
      <c r="W20" s="94"/>
      <c r="X20" s="94"/>
      <c r="Y20" s="94"/>
      <c r="Z20" s="94"/>
      <c r="AA20" s="94"/>
      <c r="AB20" s="94"/>
      <c r="AC20" s="94"/>
      <c r="AD20" s="95"/>
      <c r="AE20" s="5"/>
      <c r="AG20" s="32" t="s">
        <v>831</v>
      </c>
      <c r="AH20" s="34" t="s">
        <v>879</v>
      </c>
      <c r="AI20" s="34"/>
      <c r="AJ20" s="31"/>
      <c r="AK20" s="31"/>
      <c r="AL20" s="31">
        <f t="shared" si="0"/>
        <v>0</v>
      </c>
      <c r="AM20" s="31">
        <f t="shared" si="27"/>
        <v>1</v>
      </c>
      <c r="AN20" s="31">
        <f t="shared" si="24"/>
        <v>19</v>
      </c>
      <c r="AO20" s="35" t="s">
        <v>11</v>
      </c>
      <c r="AP20" s="134"/>
      <c r="AQ20" s="47"/>
      <c r="AR20" s="134"/>
      <c r="AS20" s="47"/>
      <c r="AT20" s="134"/>
      <c r="AU20" s="47"/>
      <c r="AV20" s="134"/>
      <c r="AW20" s="47"/>
      <c r="AX20" s="134"/>
      <c r="AY20" s="47"/>
      <c r="AZ20" s="134"/>
      <c r="BA20" s="47"/>
      <c r="BB20" s="134"/>
      <c r="BC20" s="47"/>
      <c r="BD20" s="134"/>
      <c r="BE20" s="47"/>
      <c r="BF20" s="134"/>
      <c r="BG20" s="47"/>
      <c r="BH20" s="134"/>
      <c r="BI20" s="47"/>
      <c r="BJ20" s="134"/>
      <c r="BK20" s="47"/>
      <c r="BL20" s="134"/>
      <c r="BM20" s="47"/>
      <c r="BN20" s="134"/>
      <c r="BO20" s="47"/>
      <c r="BP20" s="134"/>
      <c r="BQ20" s="47"/>
      <c r="BR20" s="134"/>
      <c r="BS20" s="47"/>
      <c r="BT20" s="134"/>
      <c r="BU20" s="47"/>
      <c r="BV20" s="134"/>
      <c r="BW20" s="47"/>
      <c r="BX20" s="134"/>
      <c r="BY20" s="47"/>
      <c r="BZ20" s="134"/>
      <c r="CA20" s="47"/>
      <c r="CB20" s="120"/>
      <c r="CC20" s="120"/>
      <c r="CD20" s="120"/>
      <c r="CE20" s="120">
        <v>2</v>
      </c>
      <c r="CF20" s="120"/>
      <c r="CG20" s="120"/>
      <c r="CH20" s="120"/>
      <c r="CI20" s="120"/>
      <c r="CJ20" s="120"/>
      <c r="CK20" s="179">
        <f t="shared" si="1"/>
        <v>19</v>
      </c>
      <c r="CL20" s="37" t="str">
        <f t="shared" ca="1" si="2"/>
        <v>Brother of Night's Watch (Steward)</v>
      </c>
      <c r="CM20" s="36">
        <f t="shared" si="16"/>
        <v>19</v>
      </c>
      <c r="CN20" s="37" t="str">
        <f ca="1">IF($AN20&gt;CN$1,"",INDEX($AG$2:$AG$226,SMALL(CM$2:$CM$226,$AN20),1))</f>
        <v>Deft Hands</v>
      </c>
      <c r="CO20" s="36">
        <f t="shared" si="17"/>
        <v>19</v>
      </c>
      <c r="CP20" s="37" t="str">
        <f t="shared" ca="1" si="18"/>
        <v>Deft Hands</v>
      </c>
      <c r="CS20" s="28">
        <f t="shared" si="3"/>
        <v>19</v>
      </c>
      <c r="CT20" s="37" t="str">
        <f t="shared" ca="1" si="4"/>
        <v>Deft Hands</v>
      </c>
      <c r="CU20" s="28">
        <f t="shared" si="3"/>
        <v>19</v>
      </c>
      <c r="CV20" s="37" t="str">
        <f t="shared" ca="1" si="5"/>
        <v>Deft Hands</v>
      </c>
      <c r="CW20" s="28">
        <f t="shared" si="6"/>
        <v>19</v>
      </c>
      <c r="CX20" s="37" t="str">
        <f t="shared" ca="1" si="7"/>
        <v>Deft Hands</v>
      </c>
      <c r="CY20" s="28">
        <f t="shared" si="8"/>
        <v>19</v>
      </c>
      <c r="CZ20" s="37" t="str">
        <f t="shared" ca="1" si="7"/>
        <v>Deft Hands</v>
      </c>
      <c r="DA20" s="28">
        <f t="shared" si="9"/>
        <v>19</v>
      </c>
      <c r="DB20" s="37" t="str">
        <f t="shared" ca="1" si="10"/>
        <v>Deft Hands</v>
      </c>
      <c r="DC20" s="28">
        <f t="shared" si="11"/>
        <v>19</v>
      </c>
      <c r="DD20" s="37" t="str">
        <f t="shared" ca="1" si="12"/>
        <v>Deft Hands</v>
      </c>
      <c r="DN20" s="32">
        <v>19</v>
      </c>
      <c r="DO20" s="34" t="s">
        <v>640</v>
      </c>
      <c r="DP20" s="38">
        <f t="shared" si="13"/>
        <v>0</v>
      </c>
      <c r="DQ20" s="173" t="str">
        <f t="shared" si="19"/>
        <v>(Agil) 0</v>
      </c>
      <c r="DR20" s="36" t="str">
        <f t="shared" si="20"/>
        <v/>
      </c>
      <c r="DS20" s="37" t="str">
        <f t="shared" si="21"/>
        <v>(Cunn) Logic</v>
      </c>
      <c r="DT20" s="235">
        <f>CharGen!N24</f>
        <v>0</v>
      </c>
      <c r="DU20" s="236">
        <f>IF(DT20=0,0,CharGen!L24)</f>
        <v>0</v>
      </c>
      <c r="DV20" s="154">
        <f t="shared" si="14"/>
        <v>0</v>
      </c>
      <c r="DW20" s="243">
        <f>IF(COUNTIF('Char Sheet p1'!$AP$7:$AP$35,DQ20)=0,0,ROUNDDOWN(SUMIF('Char Sheet p1'!$AP$7:$AP$35,DQ20,'Char Sheet p1'!$AQ$7:$AQ$35)/10,0))</f>
        <v>0</v>
      </c>
      <c r="DX20" s="240">
        <f t="shared" si="22"/>
        <v>0</v>
      </c>
      <c r="DY20" s="36">
        <f t="shared" si="26"/>
        <v>19</v>
      </c>
      <c r="DZ20" s="36" t="str">
        <f t="shared" si="15"/>
        <v/>
      </c>
      <c r="EA20" s="245">
        <v>1</v>
      </c>
      <c r="EB20" s="75" t="str">
        <f>DO158</f>
        <v>Endurance</v>
      </c>
      <c r="EC20" s="246" t="str">
        <f>IF(EA20&gt;$EB$21,"",INDEX($DP$158:$DP$183,SMALL($DZ$158:$DZ$183,EA20),1))</f>
        <v/>
      </c>
      <c r="ED20" s="247" t="str">
        <f t="shared" si="23"/>
        <v/>
      </c>
      <c r="EE20" s="36">
        <f t="shared" si="25"/>
        <v>4</v>
      </c>
    </row>
    <row r="21" spans="1:135" ht="11.25">
      <c r="A21" s="104" t="s">
        <v>729</v>
      </c>
      <c r="B21" s="100" t="s">
        <v>730</v>
      </c>
      <c r="C21" s="9" t="s">
        <v>732</v>
      </c>
      <c r="D21" s="10" t="s">
        <v>731</v>
      </c>
      <c r="G21" s="5"/>
      <c r="H21" s="5"/>
      <c r="L21" s="93"/>
      <c r="M21" s="94"/>
      <c r="N21" s="94"/>
      <c r="O21" s="94"/>
      <c r="P21" s="94"/>
      <c r="Q21" s="94"/>
      <c r="R21" s="94"/>
      <c r="S21" s="94"/>
      <c r="T21" s="94"/>
      <c r="U21" s="94"/>
      <c r="V21" s="94"/>
      <c r="W21" s="94"/>
      <c r="X21" s="94"/>
      <c r="Y21" s="94"/>
      <c r="Z21" s="94"/>
      <c r="AA21" s="94"/>
      <c r="AB21" s="94"/>
      <c r="AC21" s="94"/>
      <c r="AD21" s="95"/>
      <c r="AE21" s="5"/>
      <c r="AG21" s="32" t="s">
        <v>833</v>
      </c>
      <c r="AH21" s="34" t="s">
        <v>879</v>
      </c>
      <c r="AI21" s="34"/>
      <c r="AJ21" s="31"/>
      <c r="AK21" s="31"/>
      <c r="AL21" s="31">
        <f t="shared" si="0"/>
        <v>0</v>
      </c>
      <c r="AM21" s="31">
        <f t="shared" si="27"/>
        <v>1</v>
      </c>
      <c r="AN21" s="31">
        <f t="shared" si="24"/>
        <v>20</v>
      </c>
      <c r="AO21" s="35" t="s">
        <v>17</v>
      </c>
      <c r="AP21" s="134"/>
      <c r="AQ21" s="47"/>
      <c r="AR21" s="134"/>
      <c r="AS21" s="47"/>
      <c r="AT21" s="134"/>
      <c r="AU21" s="47"/>
      <c r="AV21" s="134"/>
      <c r="AW21" s="47"/>
      <c r="AX21" s="134"/>
      <c r="AY21" s="47"/>
      <c r="AZ21" s="134"/>
      <c r="BA21" s="47"/>
      <c r="BB21" s="134"/>
      <c r="BC21" s="47"/>
      <c r="BD21" s="134"/>
      <c r="BE21" s="47"/>
      <c r="BF21" s="134"/>
      <c r="BG21" s="47"/>
      <c r="BH21" s="134"/>
      <c r="BI21" s="47"/>
      <c r="BJ21" s="134"/>
      <c r="BK21" s="47"/>
      <c r="BL21" s="134"/>
      <c r="BM21" s="47"/>
      <c r="BN21" s="134"/>
      <c r="BO21" s="47"/>
      <c r="BP21" s="134"/>
      <c r="BQ21" s="47"/>
      <c r="BR21" s="134"/>
      <c r="BS21" s="47"/>
      <c r="BT21" s="134"/>
      <c r="BU21" s="47"/>
      <c r="BV21" s="134"/>
      <c r="BW21" s="47"/>
      <c r="BX21" s="134"/>
      <c r="BY21" s="47"/>
      <c r="BZ21" s="134"/>
      <c r="CA21" s="47"/>
      <c r="CB21" s="120"/>
      <c r="CC21" s="120"/>
      <c r="CD21" s="120"/>
      <c r="CE21" s="120"/>
      <c r="CF21" s="120"/>
      <c r="CG21" s="120"/>
      <c r="CH21" s="120"/>
      <c r="CI21" s="120"/>
      <c r="CJ21" s="120"/>
      <c r="CK21" s="179">
        <f t="shared" si="1"/>
        <v>20</v>
      </c>
      <c r="CL21" s="37" t="str">
        <f t="shared" ca="1" si="2"/>
        <v>Deft Hands</v>
      </c>
      <c r="CM21" s="36">
        <f t="shared" si="16"/>
        <v>20</v>
      </c>
      <c r="CN21" s="37" t="str">
        <f ca="1">IF($AN21&gt;CN$1,"",INDEX($AG$2:$AG$226,SMALL(CM$2:$CM$226,$AN21),1))</f>
        <v>Dexterous</v>
      </c>
      <c r="CO21" s="36">
        <f t="shared" si="17"/>
        <v>20</v>
      </c>
      <c r="CP21" s="37" t="str">
        <f t="shared" ca="1" si="18"/>
        <v>Dexterous</v>
      </c>
      <c r="CS21" s="28">
        <f t="shared" si="3"/>
        <v>20</v>
      </c>
      <c r="CT21" s="37" t="str">
        <f t="shared" ca="1" si="4"/>
        <v>Dexterous</v>
      </c>
      <c r="CU21" s="28">
        <f t="shared" si="3"/>
        <v>20</v>
      </c>
      <c r="CV21" s="37" t="str">
        <f t="shared" ca="1" si="5"/>
        <v>Dexterous</v>
      </c>
      <c r="CW21" s="28">
        <f t="shared" si="6"/>
        <v>20</v>
      </c>
      <c r="CX21" s="37" t="str">
        <f t="shared" ca="1" si="7"/>
        <v>Dexterous</v>
      </c>
      <c r="CY21" s="28">
        <f t="shared" si="8"/>
        <v>20</v>
      </c>
      <c r="CZ21" s="37" t="str">
        <f t="shared" ca="1" si="7"/>
        <v>Dexterous</v>
      </c>
      <c r="DA21" s="28">
        <f t="shared" si="9"/>
        <v>20</v>
      </c>
      <c r="DB21" s="37" t="str">
        <f t="shared" ca="1" si="10"/>
        <v>Dexterous</v>
      </c>
      <c r="DC21" s="28">
        <f t="shared" si="11"/>
        <v>20</v>
      </c>
      <c r="DD21" s="37" t="str">
        <f t="shared" ca="1" si="12"/>
        <v>Dexterous</v>
      </c>
      <c r="DN21" s="32">
        <v>20</v>
      </c>
      <c r="DO21" s="34" t="s">
        <v>640</v>
      </c>
      <c r="DP21" s="38">
        <f t="shared" si="13"/>
        <v>0</v>
      </c>
      <c r="DQ21" s="173" t="str">
        <f t="shared" si="19"/>
        <v>(Agil) 0</v>
      </c>
      <c r="DR21" s="36" t="str">
        <f t="shared" si="20"/>
        <v/>
      </c>
      <c r="DS21" s="37" t="str">
        <f t="shared" si="21"/>
        <v>(Cunn) Memory</v>
      </c>
      <c r="DT21" s="235">
        <f>CharGen!N25</f>
        <v>0</v>
      </c>
      <c r="DU21" s="236">
        <f>IF(DT21=0,0,CharGen!L25)</f>
        <v>0</v>
      </c>
      <c r="DV21" s="154">
        <f t="shared" si="14"/>
        <v>0</v>
      </c>
      <c r="DW21" s="243">
        <f>IF(COUNTIF('Char Sheet p1'!$AP$7:$AP$35,DQ21)=0,0,ROUNDDOWN(SUMIF('Char Sheet p1'!$AP$7:$AP$35,DQ21,'Char Sheet p1'!$AQ$7:$AQ$35)/10,0))</f>
        <v>0</v>
      </c>
      <c r="DX21" s="240">
        <f t="shared" si="22"/>
        <v>0</v>
      </c>
      <c r="DY21" s="36">
        <f t="shared" si="26"/>
        <v>20</v>
      </c>
      <c r="DZ21" s="36" t="str">
        <f t="shared" si="15"/>
        <v/>
      </c>
      <c r="EA21" s="36">
        <v>2</v>
      </c>
      <c r="EB21" s="78">
        <f>COUNT(DZ158:DZ183)</f>
        <v>0</v>
      </c>
      <c r="EC21" s="32" t="str">
        <f>IF(EA21&gt;$EB$21,"",INDEX($DP$158:$DP$183,SMALL($DZ$158:$DZ$183,EA21),1))</f>
        <v/>
      </c>
      <c r="ED21" s="39" t="str">
        <f t="shared" si="23"/>
        <v/>
      </c>
      <c r="EE21" s="36">
        <f t="shared" si="25"/>
        <v>4</v>
      </c>
    </row>
    <row r="22" spans="1:135">
      <c r="A22" s="29" t="s">
        <v>733</v>
      </c>
      <c r="B22" s="101">
        <v>0</v>
      </c>
      <c r="C22" s="22">
        <v>0</v>
      </c>
      <c r="D22" s="45">
        <v>0</v>
      </c>
      <c r="G22" s="5"/>
      <c r="H22" s="5"/>
      <c r="L22" s="93"/>
      <c r="M22" s="94"/>
      <c r="N22" s="94"/>
      <c r="O22" s="94"/>
      <c r="P22" s="94"/>
      <c r="Q22" s="94"/>
      <c r="R22" s="94"/>
      <c r="S22" s="94"/>
      <c r="T22" s="94"/>
      <c r="U22" s="94"/>
      <c r="V22" s="94"/>
      <c r="W22" s="94"/>
      <c r="X22" s="94"/>
      <c r="Y22" s="94"/>
      <c r="Z22" s="94"/>
      <c r="AA22" s="94"/>
      <c r="AB22" s="94"/>
      <c r="AC22" s="94"/>
      <c r="AD22" s="95"/>
      <c r="AE22" s="5"/>
      <c r="AG22" s="32" t="s">
        <v>832</v>
      </c>
      <c r="AH22" s="34" t="s">
        <v>879</v>
      </c>
      <c r="AI22" s="34"/>
      <c r="AJ22" s="31"/>
      <c r="AK22" s="31"/>
      <c r="AL22" s="31">
        <f t="shared" si="0"/>
        <v>0</v>
      </c>
      <c r="AM22" s="31">
        <f t="shared" si="27"/>
        <v>1</v>
      </c>
      <c r="AN22" s="31">
        <f t="shared" si="24"/>
        <v>21</v>
      </c>
      <c r="AO22" s="35" t="s">
        <v>18</v>
      </c>
      <c r="AP22" s="134"/>
      <c r="AQ22" s="47"/>
      <c r="AR22" s="134"/>
      <c r="AS22" s="47"/>
      <c r="AT22" s="134"/>
      <c r="AU22" s="47"/>
      <c r="AV22" s="134"/>
      <c r="AW22" s="47"/>
      <c r="AX22" s="134"/>
      <c r="AY22" s="47"/>
      <c r="AZ22" s="134"/>
      <c r="BA22" s="47"/>
      <c r="BB22" s="134"/>
      <c r="BC22" s="47"/>
      <c r="BD22" s="134"/>
      <c r="BE22" s="47"/>
      <c r="BF22" s="134"/>
      <c r="BG22" s="47"/>
      <c r="BH22" s="134"/>
      <c r="BI22" s="47"/>
      <c r="BJ22" s="134"/>
      <c r="BK22" s="47"/>
      <c r="BL22" s="134"/>
      <c r="BM22" s="47"/>
      <c r="BN22" s="134"/>
      <c r="BO22" s="47"/>
      <c r="BP22" s="134"/>
      <c r="BQ22" s="47"/>
      <c r="BR22" s="134"/>
      <c r="BS22" s="47"/>
      <c r="BT22" s="134"/>
      <c r="BU22" s="47"/>
      <c r="BV22" s="134"/>
      <c r="BW22" s="47"/>
      <c r="BX22" s="134"/>
      <c r="BY22" s="47"/>
      <c r="BZ22" s="134"/>
      <c r="CA22" s="47"/>
      <c r="CB22" s="120"/>
      <c r="CC22" s="120"/>
      <c r="CD22" s="120"/>
      <c r="CE22" s="120"/>
      <c r="CF22" s="120"/>
      <c r="CG22" s="120"/>
      <c r="CH22" s="120"/>
      <c r="CI22" s="120"/>
      <c r="CJ22" s="120"/>
      <c r="CK22" s="179">
        <f t="shared" si="1"/>
        <v>21</v>
      </c>
      <c r="CL22" s="37" t="str">
        <f t="shared" ca="1" si="2"/>
        <v>Dexterous</v>
      </c>
      <c r="CM22" s="36">
        <f t="shared" si="16"/>
        <v>21</v>
      </c>
      <c r="CN22" s="37" t="str">
        <f ca="1">IF($AN22&gt;CN$1,"",INDEX($AG$2:$AG$226,SMALL(CM$2:$CM$226,$AN22),1))</f>
        <v>Expertise</v>
      </c>
      <c r="CO22" s="36">
        <f t="shared" si="17"/>
        <v>21</v>
      </c>
      <c r="CP22" s="37" t="str">
        <f t="shared" ca="1" si="18"/>
        <v>Expertise</v>
      </c>
      <c r="CS22" s="28">
        <f t="shared" si="3"/>
        <v>21</v>
      </c>
      <c r="CT22" s="37" t="str">
        <f t="shared" ca="1" si="4"/>
        <v>Expertise</v>
      </c>
      <c r="CU22" s="28">
        <f t="shared" si="3"/>
        <v>21</v>
      </c>
      <c r="CV22" s="37" t="str">
        <f t="shared" ca="1" si="5"/>
        <v>Expertise</v>
      </c>
      <c r="CW22" s="28">
        <f t="shared" si="6"/>
        <v>21</v>
      </c>
      <c r="CX22" s="37" t="str">
        <f t="shared" ca="1" si="7"/>
        <v>Expertise</v>
      </c>
      <c r="CY22" s="28">
        <f t="shared" si="8"/>
        <v>21</v>
      </c>
      <c r="CZ22" s="37" t="str">
        <f t="shared" ca="1" si="7"/>
        <v>Expertise</v>
      </c>
      <c r="DA22" s="28">
        <f t="shared" si="9"/>
        <v>21</v>
      </c>
      <c r="DB22" s="37" t="str">
        <f t="shared" ca="1" si="10"/>
        <v>Expertise</v>
      </c>
      <c r="DC22" s="28">
        <f t="shared" si="11"/>
        <v>21</v>
      </c>
      <c r="DD22" s="37" t="str">
        <f t="shared" ca="1" si="12"/>
        <v>Expertise</v>
      </c>
      <c r="DN22" s="32">
        <v>21</v>
      </c>
      <c r="DO22" s="34" t="s">
        <v>640</v>
      </c>
      <c r="DP22" s="38">
        <f t="shared" si="13"/>
        <v>0</v>
      </c>
      <c r="DQ22" s="173" t="str">
        <f t="shared" si="19"/>
        <v>(Agil) 0</v>
      </c>
      <c r="DR22" s="36" t="str">
        <f t="shared" si="20"/>
        <v/>
      </c>
      <c r="DS22" s="37" t="str">
        <f t="shared" si="21"/>
        <v>(Dece) Act</v>
      </c>
      <c r="DT22" s="235">
        <f>CharGen!N26</f>
        <v>0</v>
      </c>
      <c r="DU22" s="236">
        <f>IF(DT22=0,0,CharGen!L26)</f>
        <v>0</v>
      </c>
      <c r="DV22" s="154">
        <f t="shared" si="14"/>
        <v>0</v>
      </c>
      <c r="DW22" s="243">
        <f>IF(COUNTIF('Char Sheet p1'!$AP$7:$AP$35,DQ22)=0,0,ROUNDDOWN(SUMIF('Char Sheet p1'!$AP$7:$AP$35,DQ22,'Char Sheet p1'!$AQ$7:$AQ$35)/10,0))</f>
        <v>0</v>
      </c>
      <c r="DX22" s="240">
        <f t="shared" si="22"/>
        <v>0</v>
      </c>
      <c r="DY22" s="36">
        <f t="shared" si="26"/>
        <v>21</v>
      </c>
      <c r="DZ22" s="36" t="str">
        <f t="shared" si="15"/>
        <v/>
      </c>
      <c r="EA22" s="55"/>
      <c r="EC22" s="248" t="s">
        <v>474</v>
      </c>
      <c r="ED22" s="43"/>
      <c r="EE22" s="36">
        <f t="shared" si="25"/>
        <v>4</v>
      </c>
    </row>
    <row r="23" spans="1:135" ht="11.25">
      <c r="A23" s="37" t="s">
        <v>734</v>
      </c>
      <c r="B23" s="102">
        <f>1</f>
        <v>1</v>
      </c>
      <c r="C23" s="31">
        <v>0</v>
      </c>
      <c r="D23" s="39">
        <v>1</v>
      </c>
      <c r="G23" s="5"/>
      <c r="H23" s="5"/>
      <c r="L23" s="93"/>
      <c r="M23" s="94"/>
      <c r="N23" s="94"/>
      <c r="O23" s="94"/>
      <c r="P23" s="94"/>
      <c r="Q23" s="94"/>
      <c r="R23" s="94"/>
      <c r="S23" s="94"/>
      <c r="T23" s="94"/>
      <c r="U23" s="94"/>
      <c r="V23" s="94"/>
      <c r="W23" s="94"/>
      <c r="X23" s="94"/>
      <c r="Y23" s="94"/>
      <c r="Z23" s="94"/>
      <c r="AA23" s="94"/>
      <c r="AB23" s="94"/>
      <c r="AC23" s="94"/>
      <c r="AD23" s="95"/>
      <c r="AE23" s="5"/>
      <c r="AG23" s="32" t="s">
        <v>841</v>
      </c>
      <c r="AH23" s="34" t="s">
        <v>880</v>
      </c>
      <c r="AI23" s="34" t="s">
        <v>907</v>
      </c>
      <c r="AJ23" s="31"/>
      <c r="AK23" s="31"/>
      <c r="AL23" s="31" t="str">
        <f t="shared" si="0"/>
        <v/>
      </c>
      <c r="AM23" s="31">
        <f ca="1">N(AND(fighting&gt;3,SUMIF(figspec,"Bludgeons",figspecval)&gt;1))</f>
        <v>0</v>
      </c>
      <c r="AN23" s="31">
        <f t="shared" si="24"/>
        <v>22</v>
      </c>
      <c r="AO23" s="35" t="s">
        <v>951</v>
      </c>
      <c r="AP23" s="134"/>
      <c r="AQ23" s="47"/>
      <c r="AR23" s="134"/>
      <c r="AS23" s="47"/>
      <c r="AT23" s="134"/>
      <c r="AU23" s="47"/>
      <c r="AV23" s="134"/>
      <c r="AW23" s="47"/>
      <c r="AX23" s="134"/>
      <c r="AY23" s="47"/>
      <c r="AZ23" s="134"/>
      <c r="BA23" s="47"/>
      <c r="BB23" s="134"/>
      <c r="BC23" s="47"/>
      <c r="BD23" s="134"/>
      <c r="BE23" s="47"/>
      <c r="BF23" s="134"/>
      <c r="BG23" s="47"/>
      <c r="BH23" s="134"/>
      <c r="BI23" s="47"/>
      <c r="BJ23" s="134"/>
      <c r="BK23" s="47"/>
      <c r="BL23" s="134"/>
      <c r="BM23" s="47"/>
      <c r="BN23" s="134"/>
      <c r="BO23" s="47"/>
      <c r="BP23" s="134"/>
      <c r="BQ23" s="47"/>
      <c r="BR23" s="134"/>
      <c r="BS23" s="47"/>
      <c r="BT23" s="134"/>
      <c r="BU23" s="47"/>
      <c r="BV23" s="134"/>
      <c r="BW23" s="47"/>
      <c r="BX23" s="134"/>
      <c r="BY23" s="47"/>
      <c r="BZ23" s="134"/>
      <c r="CA23" s="47"/>
      <c r="CB23" s="120"/>
      <c r="CC23" s="120"/>
      <c r="CD23" s="120"/>
      <c r="CE23" s="120"/>
      <c r="CF23" s="120"/>
      <c r="CG23" s="120"/>
      <c r="CH23" s="120"/>
      <c r="CI23" s="120"/>
      <c r="CJ23" s="120"/>
      <c r="CK23" s="179" t="str">
        <f t="shared" ca="1" si="1"/>
        <v/>
      </c>
      <c r="CL23" s="37" t="str">
        <f t="shared" ca="1" si="2"/>
        <v>Expertise</v>
      </c>
      <c r="CM23" s="36" t="str">
        <f t="shared" ca="1" si="16"/>
        <v/>
      </c>
      <c r="CN23" s="37" t="str">
        <f ca="1">IF($AN23&gt;CN$1,"",INDEX($AG$2:$AG$226,SMALL(CM$2:$CM$226,$AN23),1))</f>
        <v>Famous</v>
      </c>
      <c r="CO23" s="36" t="str">
        <f t="shared" ca="1" si="17"/>
        <v/>
      </c>
      <c r="CP23" s="37" t="str">
        <f t="shared" ca="1" si="18"/>
        <v>Famous</v>
      </c>
      <c r="CS23" s="28" t="str">
        <f t="shared" ca="1" si="3"/>
        <v/>
      </c>
      <c r="CT23" s="37" t="str">
        <f t="shared" ca="1" si="4"/>
        <v>Famous</v>
      </c>
      <c r="CU23" s="28" t="str">
        <f t="shared" ca="1" si="3"/>
        <v/>
      </c>
      <c r="CV23" s="37" t="str">
        <f t="shared" ca="1" si="5"/>
        <v>Famous</v>
      </c>
      <c r="CW23" s="28" t="str">
        <f t="shared" ca="1" si="6"/>
        <v/>
      </c>
      <c r="CX23" s="37" t="str">
        <f t="shared" ca="1" si="7"/>
        <v>Famous</v>
      </c>
      <c r="CY23" s="28" t="str">
        <f t="shared" ca="1" si="8"/>
        <v/>
      </c>
      <c r="CZ23" s="37" t="str">
        <f t="shared" ca="1" si="7"/>
        <v>Famous</v>
      </c>
      <c r="DA23" s="28" t="str">
        <f t="shared" ca="1" si="9"/>
        <v/>
      </c>
      <c r="DB23" s="37" t="str">
        <f t="shared" ca="1" si="10"/>
        <v>Famous</v>
      </c>
      <c r="DC23" s="28" t="str">
        <f t="shared" ca="1" si="11"/>
        <v/>
      </c>
      <c r="DD23" s="37" t="str">
        <f t="shared" ca="1" si="12"/>
        <v>Famous</v>
      </c>
      <c r="DN23" s="32">
        <v>22</v>
      </c>
      <c r="DO23" s="34" t="s">
        <v>640</v>
      </c>
      <c r="DP23" s="38">
        <f t="shared" si="13"/>
        <v>0</v>
      </c>
      <c r="DQ23" s="173" t="str">
        <f t="shared" si="19"/>
        <v>(Agil) 0</v>
      </c>
      <c r="DR23" s="36" t="str">
        <f t="shared" si="20"/>
        <v/>
      </c>
      <c r="DS23" s="37" t="str">
        <f t="shared" si="21"/>
        <v>(Dece) Bluff</v>
      </c>
      <c r="DT23" s="235">
        <f>CharGen!N27</f>
        <v>0</v>
      </c>
      <c r="DU23" s="236">
        <f>IF(DT23=0,0,CharGen!L27)</f>
        <v>0</v>
      </c>
      <c r="DV23" s="154">
        <f t="shared" si="14"/>
        <v>0</v>
      </c>
      <c r="DW23" s="243">
        <f>IF(COUNTIF('Char Sheet p1'!$AP$7:$AP$35,DQ23)=0,0,ROUNDDOWN(SUMIF('Char Sheet p1'!$AP$7:$AP$35,DQ23,'Char Sheet p1'!$AQ$7:$AQ$35)/10,0))</f>
        <v>0</v>
      </c>
      <c r="DX23" s="240">
        <f t="shared" si="22"/>
        <v>0</v>
      </c>
      <c r="DY23" s="36">
        <f t="shared" si="26"/>
        <v>22</v>
      </c>
      <c r="DZ23" s="36" t="str">
        <f t="shared" si="15"/>
        <v/>
      </c>
      <c r="EA23" s="245">
        <v>1</v>
      </c>
      <c r="EB23" s="75" t="str">
        <f>DO184</f>
        <v>Fighting</v>
      </c>
      <c r="EC23" s="246" t="str">
        <f>IF(EA23&gt;$EB$24,"",INDEX($DP$184:$DP$209,SMALL($DZ$184:$DZ$209,EA23),1))</f>
        <v>Spears</v>
      </c>
      <c r="ED23" s="247">
        <f t="shared" si="23"/>
        <v>1</v>
      </c>
      <c r="EE23" s="36">
        <f t="shared" si="25"/>
        <v>4</v>
      </c>
    </row>
    <row r="24" spans="1:135" ht="11.25">
      <c r="A24" s="37" t="s">
        <v>740</v>
      </c>
      <c r="B24" s="102">
        <f>1</f>
        <v>1</v>
      </c>
      <c r="C24" s="31">
        <v>0</v>
      </c>
      <c r="D24" s="39">
        <v>1</v>
      </c>
      <c r="G24" s="5"/>
      <c r="H24" s="5"/>
      <c r="L24" s="93"/>
      <c r="M24" s="94"/>
      <c r="N24" s="94"/>
      <c r="O24" s="94"/>
      <c r="P24" s="94"/>
      <c r="Q24" s="94"/>
      <c r="R24" s="94"/>
      <c r="S24" s="94"/>
      <c r="T24" s="94"/>
      <c r="U24" s="94"/>
      <c r="V24" s="94"/>
      <c r="W24" s="94"/>
      <c r="X24" s="94"/>
      <c r="Y24" s="94"/>
      <c r="Z24" s="94"/>
      <c r="AA24" s="94"/>
      <c r="AB24" s="94"/>
      <c r="AC24" s="94"/>
      <c r="AD24" s="95"/>
      <c r="AE24" s="5"/>
      <c r="AG24" s="32" t="s">
        <v>891</v>
      </c>
      <c r="AH24" s="34" t="s">
        <v>880</v>
      </c>
      <c r="AI24" s="34" t="s">
        <v>908</v>
      </c>
      <c r="AJ24" s="31"/>
      <c r="AK24" s="31"/>
      <c r="AL24" s="31" t="str">
        <f t="shared" si="0"/>
        <v/>
      </c>
      <c r="AM24" s="31">
        <f ca="1">N(AND(fighting&gt;4,SUMIF(figspec,"Bludgeons",figspecval)&gt;2,COUNTIF(qualities,"Bludgeon Fighter I")&gt;0))</f>
        <v>0</v>
      </c>
      <c r="AN24" s="31">
        <f t="shared" si="24"/>
        <v>23</v>
      </c>
      <c r="AO24" s="35" t="s">
        <v>19</v>
      </c>
      <c r="AP24" s="134"/>
      <c r="AQ24" s="47"/>
      <c r="AR24" s="134"/>
      <c r="AS24" s="47"/>
      <c r="AT24" s="134"/>
      <c r="AU24" s="47"/>
      <c r="AV24" s="134"/>
      <c r="AW24" s="47"/>
      <c r="AX24" s="134"/>
      <c r="AY24" s="47"/>
      <c r="AZ24" s="134"/>
      <c r="BA24" s="47"/>
      <c r="BB24" s="134"/>
      <c r="BC24" s="47"/>
      <c r="BD24" s="134"/>
      <c r="BE24" s="47"/>
      <c r="BF24" s="134"/>
      <c r="BG24" s="47"/>
      <c r="BH24" s="134"/>
      <c r="BI24" s="47"/>
      <c r="BJ24" s="134"/>
      <c r="BK24" s="47"/>
      <c r="BL24" s="134"/>
      <c r="BM24" s="47"/>
      <c r="BN24" s="134"/>
      <c r="BO24" s="47"/>
      <c r="BP24" s="134"/>
      <c r="BQ24" s="47"/>
      <c r="BR24" s="134"/>
      <c r="BS24" s="47"/>
      <c r="BT24" s="134"/>
      <c r="BU24" s="47"/>
      <c r="BV24" s="134"/>
      <c r="BW24" s="47"/>
      <c r="BX24" s="134"/>
      <c r="BY24" s="47"/>
      <c r="BZ24" s="134"/>
      <c r="CA24" s="47"/>
      <c r="CB24" s="120"/>
      <c r="CC24" s="120"/>
      <c r="CD24" s="120"/>
      <c r="CE24" s="120"/>
      <c r="CF24" s="120"/>
      <c r="CG24" s="120"/>
      <c r="CH24" s="120"/>
      <c r="CI24" s="120"/>
      <c r="CJ24" s="120"/>
      <c r="CK24" s="179" t="str">
        <f t="shared" ca="1" si="1"/>
        <v/>
      </c>
      <c r="CL24" s="37" t="str">
        <f t="shared" ca="1" si="2"/>
        <v>Famous</v>
      </c>
      <c r="CM24" s="36" t="str">
        <f t="shared" ca="1" si="16"/>
        <v/>
      </c>
      <c r="CN24" s="37" t="str">
        <f ca="1">IF($AN24&gt;CN$1,"",INDEX($AG$2:$AG$226,SMALL(CM$2:$CM$226,$AN24),1))</f>
        <v>Fast</v>
      </c>
      <c r="CO24" s="36" t="str">
        <f t="shared" ca="1" si="17"/>
        <v/>
      </c>
      <c r="CP24" s="37" t="str">
        <f t="shared" ca="1" si="18"/>
        <v>Fast</v>
      </c>
      <c r="CS24" s="28" t="str">
        <f t="shared" ca="1" si="3"/>
        <v/>
      </c>
      <c r="CT24" s="37" t="str">
        <f t="shared" ca="1" si="4"/>
        <v>Fast</v>
      </c>
      <c r="CU24" s="28" t="str">
        <f t="shared" ca="1" si="3"/>
        <v/>
      </c>
      <c r="CV24" s="37" t="str">
        <f t="shared" ca="1" si="5"/>
        <v>Fast</v>
      </c>
      <c r="CW24" s="28" t="str">
        <f t="shared" ca="1" si="6"/>
        <v/>
      </c>
      <c r="CX24" s="37" t="str">
        <f t="shared" ca="1" si="7"/>
        <v>Fast</v>
      </c>
      <c r="CY24" s="28" t="str">
        <f t="shared" ca="1" si="8"/>
        <v/>
      </c>
      <c r="CZ24" s="37" t="str">
        <f t="shared" ca="1" si="7"/>
        <v>Fast</v>
      </c>
      <c r="DA24" s="28" t="str">
        <f t="shared" ca="1" si="9"/>
        <v/>
      </c>
      <c r="DB24" s="37" t="str">
        <f t="shared" ca="1" si="10"/>
        <v>Fast</v>
      </c>
      <c r="DC24" s="28" t="str">
        <f t="shared" ca="1" si="11"/>
        <v/>
      </c>
      <c r="DD24" s="37" t="str">
        <f t="shared" ca="1" si="12"/>
        <v>Fast</v>
      </c>
      <c r="DN24" s="32">
        <v>23</v>
      </c>
      <c r="DO24" s="34" t="s">
        <v>640</v>
      </c>
      <c r="DP24" s="38">
        <f t="shared" si="13"/>
        <v>0</v>
      </c>
      <c r="DQ24" s="173" t="str">
        <f t="shared" si="19"/>
        <v>(Agil) 0</v>
      </c>
      <c r="DR24" s="36" t="str">
        <f t="shared" si="20"/>
        <v/>
      </c>
      <c r="DS24" s="37" t="str">
        <f t="shared" si="21"/>
        <v>(Dece) Cheat</v>
      </c>
      <c r="DT24" s="235">
        <f>CharGen!N28</f>
        <v>0</v>
      </c>
      <c r="DU24" s="236">
        <f>IF(DT24=0,0,CharGen!L28)</f>
        <v>0</v>
      </c>
      <c r="DV24" s="154">
        <f t="shared" si="14"/>
        <v>0</v>
      </c>
      <c r="DW24" s="243">
        <f>IF(COUNTIF('Char Sheet p1'!$AP$7:$AP$35,DQ24)=0,0,ROUNDDOWN(SUMIF('Char Sheet p1'!$AP$7:$AP$35,DQ24,'Char Sheet p1'!$AQ$7:$AQ$35)/10,0))</f>
        <v>0</v>
      </c>
      <c r="DX24" s="240">
        <f t="shared" si="22"/>
        <v>0</v>
      </c>
      <c r="DY24" s="36">
        <f t="shared" si="26"/>
        <v>23</v>
      </c>
      <c r="DZ24" s="36" t="str">
        <f t="shared" si="15"/>
        <v/>
      </c>
      <c r="EA24" s="36">
        <v>2</v>
      </c>
      <c r="EB24" s="78">
        <f>COUNT(DZ184:DZ209)</f>
        <v>1</v>
      </c>
      <c r="EC24" s="32" t="str">
        <f>IF(EA24&gt;$EB$24,"",INDEX($DP$184:$DP$209,SMALL($DZ$184:$DZ$209,EA24),1))</f>
        <v/>
      </c>
      <c r="ED24" s="39" t="str">
        <f t="shared" si="23"/>
        <v/>
      </c>
      <c r="EE24" s="36">
        <f t="shared" si="25"/>
        <v>4</v>
      </c>
    </row>
    <row r="25" spans="1:135">
      <c r="A25" s="37" t="s">
        <v>735</v>
      </c>
      <c r="B25" s="102">
        <f>1</f>
        <v>1</v>
      </c>
      <c r="C25" s="31">
        <v>0</v>
      </c>
      <c r="D25" s="39">
        <v>0</v>
      </c>
      <c r="G25" s="5"/>
      <c r="H25" s="5"/>
      <c r="L25" s="93"/>
      <c r="M25" s="94"/>
      <c r="N25" s="94"/>
      <c r="O25" s="94"/>
      <c r="P25" s="94"/>
      <c r="Q25" s="94"/>
      <c r="R25" s="94"/>
      <c r="S25" s="94"/>
      <c r="T25" s="94"/>
      <c r="U25" s="94"/>
      <c r="V25" s="94"/>
      <c r="W25" s="94"/>
      <c r="X25" s="94"/>
      <c r="Y25" s="94"/>
      <c r="Z25" s="94"/>
      <c r="AA25" s="94"/>
      <c r="AB25" s="94"/>
      <c r="AC25" s="94"/>
      <c r="AD25" s="95"/>
      <c r="AE25" s="5"/>
      <c r="AG25" s="32" t="s">
        <v>892</v>
      </c>
      <c r="AH25" s="34" t="s">
        <v>880</v>
      </c>
      <c r="AI25" s="34" t="s">
        <v>909</v>
      </c>
      <c r="AJ25" s="31"/>
      <c r="AK25" s="31"/>
      <c r="AL25" s="31" t="str">
        <f t="shared" si="0"/>
        <v/>
      </c>
      <c r="AM25" s="31">
        <f ca="1">N(AND(fighting&gt;5,SUMIF(figspec,"Bludgeons",figspecval)&gt;3,COUNTIF(qualities,"Bludgeons Fighter II")&gt;0))</f>
        <v>0</v>
      </c>
      <c r="AN25" s="31">
        <f t="shared" si="24"/>
        <v>24</v>
      </c>
      <c r="AO25" s="35" t="s">
        <v>20</v>
      </c>
      <c r="AP25" s="134"/>
      <c r="AQ25" s="47"/>
      <c r="AR25" s="134"/>
      <c r="AS25" s="47"/>
      <c r="AT25" s="134"/>
      <c r="AU25" s="47"/>
      <c r="AV25" s="134"/>
      <c r="AW25" s="47"/>
      <c r="AX25" s="134"/>
      <c r="AY25" s="47"/>
      <c r="AZ25" s="134"/>
      <c r="BA25" s="47"/>
      <c r="BB25" s="134"/>
      <c r="BC25" s="47"/>
      <c r="BD25" s="134"/>
      <c r="BE25" s="47"/>
      <c r="BF25" s="134"/>
      <c r="BG25" s="47"/>
      <c r="BH25" s="134"/>
      <c r="BI25" s="47"/>
      <c r="BJ25" s="134"/>
      <c r="BK25" s="47"/>
      <c r="BL25" s="134"/>
      <c r="BM25" s="47"/>
      <c r="BN25" s="134"/>
      <c r="BO25" s="47"/>
      <c r="BP25" s="134"/>
      <c r="BQ25" s="47"/>
      <c r="BR25" s="134"/>
      <c r="BS25" s="47"/>
      <c r="BT25" s="134"/>
      <c r="BU25" s="47"/>
      <c r="BV25" s="134"/>
      <c r="BW25" s="47"/>
      <c r="BX25" s="134"/>
      <c r="BY25" s="47"/>
      <c r="BZ25" s="134"/>
      <c r="CA25" s="47"/>
      <c r="CB25" s="120"/>
      <c r="CC25" s="120"/>
      <c r="CD25" s="120"/>
      <c r="CE25" s="120"/>
      <c r="CF25" s="120"/>
      <c r="CG25" s="120"/>
      <c r="CH25" s="120"/>
      <c r="CI25" s="120"/>
      <c r="CJ25" s="120"/>
      <c r="CK25" s="179" t="str">
        <f t="shared" ca="1" si="1"/>
        <v/>
      </c>
      <c r="CL25" s="37" t="str">
        <f t="shared" ca="1" si="2"/>
        <v>Fast</v>
      </c>
      <c r="CM25" s="36" t="str">
        <f t="shared" ca="1" si="16"/>
        <v/>
      </c>
      <c r="CN25" s="37" t="str">
        <f ca="1">IF($AN25&gt;CN$1,"",INDEX($AG$2:$AG$226,SMALL(CM$2:$CM$226,$AN25),1))</f>
        <v>Favoured of Nobles</v>
      </c>
      <c r="CO25" s="36" t="str">
        <f t="shared" ca="1" si="17"/>
        <v/>
      </c>
      <c r="CP25" s="37" t="str">
        <f t="shared" ca="1" si="18"/>
        <v>Favoured of Nobles</v>
      </c>
      <c r="CS25" s="28" t="str">
        <f t="shared" ca="1" si="3"/>
        <v/>
      </c>
      <c r="CT25" s="37" t="str">
        <f t="shared" ca="1" si="4"/>
        <v>Favoured of Nobles</v>
      </c>
      <c r="CU25" s="28" t="str">
        <f t="shared" ca="1" si="3"/>
        <v/>
      </c>
      <c r="CV25" s="37" t="str">
        <f t="shared" ca="1" si="5"/>
        <v>Favoured of Nobles</v>
      </c>
      <c r="CW25" s="28" t="str">
        <f t="shared" ca="1" si="6"/>
        <v/>
      </c>
      <c r="CX25" s="37" t="str">
        <f t="shared" ca="1" si="7"/>
        <v>Favoured of Nobles</v>
      </c>
      <c r="CY25" s="28" t="str">
        <f t="shared" ca="1" si="8"/>
        <v/>
      </c>
      <c r="CZ25" s="37" t="str">
        <f t="shared" ca="1" si="7"/>
        <v>Favoured of Nobles</v>
      </c>
      <c r="DA25" s="28" t="str">
        <f t="shared" ca="1" si="9"/>
        <v/>
      </c>
      <c r="DB25" s="37" t="str">
        <f t="shared" ca="1" si="10"/>
        <v>Favoured of Nobles</v>
      </c>
      <c r="DC25" s="28" t="str">
        <f t="shared" ca="1" si="11"/>
        <v/>
      </c>
      <c r="DD25" s="37" t="str">
        <f t="shared" ca="1" si="12"/>
        <v>Favoured of Nobles</v>
      </c>
      <c r="DN25" s="32">
        <v>24</v>
      </c>
      <c r="DO25" s="34" t="s">
        <v>640</v>
      </c>
      <c r="DP25" s="38">
        <f t="shared" si="13"/>
        <v>0</v>
      </c>
      <c r="DQ25" s="173" t="str">
        <f t="shared" si="19"/>
        <v>(Agil) 0</v>
      </c>
      <c r="DR25" s="36" t="str">
        <f t="shared" si="20"/>
        <v/>
      </c>
      <c r="DS25" s="37" t="str">
        <f t="shared" si="21"/>
        <v>(Dece) Disguise</v>
      </c>
      <c r="DT25" s="235">
        <f>CharGen!N29</f>
        <v>0</v>
      </c>
      <c r="DU25" s="236">
        <f>IF(DT25=0,0,CharGen!L29)</f>
        <v>0</v>
      </c>
      <c r="DV25" s="154">
        <f t="shared" si="14"/>
        <v>0</v>
      </c>
      <c r="DW25" s="243">
        <f>IF(COUNTIF('Char Sheet p1'!$AP$7:$AP$35,DQ25)=0,0,ROUNDDOWN(SUMIF('Char Sheet p1'!$AP$7:$AP$35,DQ25,'Char Sheet p1'!$AQ$7:$AQ$35)/10,0))</f>
        <v>0</v>
      </c>
      <c r="DX25" s="240">
        <f t="shared" si="22"/>
        <v>0</v>
      </c>
      <c r="DY25" s="36">
        <f t="shared" si="26"/>
        <v>24</v>
      </c>
      <c r="DZ25" s="36" t="str">
        <f t="shared" si="15"/>
        <v/>
      </c>
      <c r="EA25" s="55">
        <v>3</v>
      </c>
      <c r="EC25" s="41" t="str">
        <f>IF(EA25&gt;$EB$24,"",INDEX($DP$184:$DP$209,SMALL($DZ$184:$DZ$209,EA25),1))</f>
        <v/>
      </c>
      <c r="ED25" s="43" t="str">
        <f t="shared" si="23"/>
        <v/>
      </c>
      <c r="EE25" s="36">
        <f t="shared" si="25"/>
        <v>4</v>
      </c>
    </row>
    <row r="26" spans="1:135" ht="11.25">
      <c r="A26" s="37" t="s">
        <v>736</v>
      </c>
      <c r="B26" s="102">
        <f>2</f>
        <v>2</v>
      </c>
      <c r="C26" s="31">
        <v>-1</v>
      </c>
      <c r="D26" s="39">
        <v>0</v>
      </c>
      <c r="L26" s="93"/>
      <c r="M26" s="94"/>
      <c r="N26" s="94"/>
      <c r="O26" s="94"/>
      <c r="P26" s="94"/>
      <c r="Q26" s="94"/>
      <c r="R26" s="94"/>
      <c r="S26" s="94"/>
      <c r="T26" s="94"/>
      <c r="U26" s="94"/>
      <c r="V26" s="94"/>
      <c r="W26" s="94"/>
      <c r="X26" s="94"/>
      <c r="Y26" s="94"/>
      <c r="Z26" s="94"/>
      <c r="AA26" s="94"/>
      <c r="AB26" s="94"/>
      <c r="AC26" s="94"/>
      <c r="AD26" s="95"/>
      <c r="AE26" s="5"/>
      <c r="AG26" s="32" t="s">
        <v>842</v>
      </c>
      <c r="AH26" s="34" t="s">
        <v>880</v>
      </c>
      <c r="AI26" s="34" t="s">
        <v>910</v>
      </c>
      <c r="AJ26" s="31"/>
      <c r="AK26" s="31"/>
      <c r="AL26" s="31" t="str">
        <f t="shared" si="0"/>
        <v/>
      </c>
      <c r="AM26" s="31">
        <f ca="1">N(AND(fighting&gt;3,SUMIF(figspec,"Fencing",figspecval)&gt;0))</f>
        <v>0</v>
      </c>
      <c r="AN26" s="31">
        <f t="shared" si="24"/>
        <v>25</v>
      </c>
      <c r="AO26" s="35" t="s">
        <v>952</v>
      </c>
      <c r="AP26" s="134"/>
      <c r="AQ26" s="47"/>
      <c r="AR26" s="134"/>
      <c r="AS26" s="47"/>
      <c r="AT26" s="134"/>
      <c r="AU26" s="47"/>
      <c r="AV26" s="134"/>
      <c r="AW26" s="47"/>
      <c r="AX26" s="134"/>
      <c r="AY26" s="47"/>
      <c r="AZ26" s="134"/>
      <c r="BA26" s="47"/>
      <c r="BB26" s="134"/>
      <c r="BC26" s="47"/>
      <c r="BD26" s="134"/>
      <c r="BE26" s="47"/>
      <c r="BF26" s="134"/>
      <c r="BG26" s="47"/>
      <c r="BH26" s="134"/>
      <c r="BI26" s="47"/>
      <c r="BJ26" s="134"/>
      <c r="BK26" s="47"/>
      <c r="BL26" s="134"/>
      <c r="BM26" s="47"/>
      <c r="BN26" s="134"/>
      <c r="BO26" s="47"/>
      <c r="BP26" s="134"/>
      <c r="BQ26" s="47"/>
      <c r="BR26" s="134"/>
      <c r="BS26" s="47"/>
      <c r="BT26" s="134"/>
      <c r="BU26" s="47"/>
      <c r="BV26" s="134"/>
      <c r="BW26" s="47"/>
      <c r="BX26" s="134"/>
      <c r="BY26" s="47"/>
      <c r="BZ26" s="134"/>
      <c r="CA26" s="47"/>
      <c r="CB26" s="120"/>
      <c r="CC26" s="120"/>
      <c r="CD26" s="120"/>
      <c r="CE26" s="120"/>
      <c r="CF26" s="120"/>
      <c r="CG26" s="120"/>
      <c r="CH26" s="120"/>
      <c r="CI26" s="120"/>
      <c r="CJ26" s="120"/>
      <c r="CK26" s="179" t="str">
        <f t="shared" ca="1" si="1"/>
        <v/>
      </c>
      <c r="CL26" s="37" t="str">
        <f t="shared" ca="1" si="2"/>
        <v>Favoured of Nobles</v>
      </c>
      <c r="CM26" s="36" t="str">
        <f t="shared" ca="1" si="16"/>
        <v/>
      </c>
      <c r="CN26" s="37" t="str">
        <f ca="1">IF($AN26&gt;CN$1,"",INDEX($AG$2:$AG$226,SMALL(CM$2:$CM$226,$AN26),1))</f>
        <v>Favoured of Smallfolk</v>
      </c>
      <c r="CO26" s="36" t="str">
        <f t="shared" ca="1" si="17"/>
        <v/>
      </c>
      <c r="CP26" s="37" t="str">
        <f t="shared" ca="1" si="18"/>
        <v>Favoured of Smallfolk</v>
      </c>
      <c r="CS26" s="28" t="str">
        <f t="shared" ca="1" si="3"/>
        <v/>
      </c>
      <c r="CT26" s="37" t="str">
        <f t="shared" ca="1" si="4"/>
        <v>Favoured of Smallfolk</v>
      </c>
      <c r="CU26" s="28" t="str">
        <f t="shared" ca="1" si="3"/>
        <v/>
      </c>
      <c r="CV26" s="37" t="str">
        <f t="shared" ca="1" si="5"/>
        <v>Favoured of Smallfolk</v>
      </c>
      <c r="CW26" s="28" t="str">
        <f t="shared" ca="1" si="6"/>
        <v/>
      </c>
      <c r="CX26" s="37" t="str">
        <f t="shared" ca="1" si="7"/>
        <v>Favoured of Smallfolk</v>
      </c>
      <c r="CY26" s="28" t="str">
        <f t="shared" ca="1" si="8"/>
        <v/>
      </c>
      <c r="CZ26" s="37" t="str">
        <f t="shared" ca="1" si="7"/>
        <v>Favoured of Smallfolk</v>
      </c>
      <c r="DA26" s="28" t="str">
        <f t="shared" ca="1" si="9"/>
        <v/>
      </c>
      <c r="DB26" s="37" t="str">
        <f t="shared" ca="1" si="10"/>
        <v>Favoured of Smallfolk</v>
      </c>
      <c r="DC26" s="28" t="str">
        <f t="shared" ca="1" si="11"/>
        <v/>
      </c>
      <c r="DD26" s="37" t="str">
        <f t="shared" ca="1" si="12"/>
        <v>Favoured of Smallfolk</v>
      </c>
      <c r="DN26" s="32">
        <v>25</v>
      </c>
      <c r="DO26" s="34" t="s">
        <v>640</v>
      </c>
      <c r="DP26" s="38">
        <f t="shared" si="13"/>
        <v>0</v>
      </c>
      <c r="DQ26" s="173" t="str">
        <f t="shared" si="19"/>
        <v>(Agil) 0</v>
      </c>
      <c r="DR26" s="36" t="str">
        <f t="shared" si="20"/>
        <v/>
      </c>
      <c r="DS26" s="37" t="str">
        <f t="shared" si="21"/>
        <v>(Endu) Resilience</v>
      </c>
      <c r="DT26" s="235">
        <f>CharGen!N30</f>
        <v>0</v>
      </c>
      <c r="DU26" s="236">
        <f>IF(DT26=0,0,CharGen!L30)</f>
        <v>0</v>
      </c>
      <c r="DV26" s="154">
        <f t="shared" si="14"/>
        <v>0</v>
      </c>
      <c r="DW26" s="243">
        <f>IF(COUNTIF('Char Sheet p1'!$AP$7:$AP$35,DQ26)=0,0,ROUNDDOWN(SUMIF('Char Sheet p1'!$AP$7:$AP$35,DQ26,'Char Sheet p1'!$AQ$7:$AQ$35)/10,0))</f>
        <v>0</v>
      </c>
      <c r="DX26" s="240">
        <f t="shared" si="22"/>
        <v>0</v>
      </c>
      <c r="DY26" s="36">
        <f t="shared" si="26"/>
        <v>25</v>
      </c>
      <c r="DZ26" s="36" t="str">
        <f t="shared" si="15"/>
        <v/>
      </c>
      <c r="EA26" s="245">
        <v>1</v>
      </c>
      <c r="EB26" s="75" t="str">
        <f>DO210</f>
        <v>Healing</v>
      </c>
      <c r="EC26" s="246" t="str">
        <f>IF(EA26&gt;$EB$27,"",INDEX($DP$210:$DP$235,SMALL($DZ$210:$DZ$235,EA26),1))</f>
        <v/>
      </c>
      <c r="ED26" s="247" t="str">
        <f t="shared" si="23"/>
        <v/>
      </c>
      <c r="EE26" s="36">
        <f t="shared" si="25"/>
        <v>4</v>
      </c>
    </row>
    <row r="27" spans="1:135" ht="11.25">
      <c r="A27" s="37" t="s">
        <v>737</v>
      </c>
      <c r="B27" s="102">
        <f>3</f>
        <v>3</v>
      </c>
      <c r="C27" s="31">
        <v>-2</v>
      </c>
      <c r="D27" s="39">
        <v>0</v>
      </c>
      <c r="L27" s="96"/>
      <c r="M27" s="97"/>
      <c r="N27" s="97"/>
      <c r="O27" s="97"/>
      <c r="P27" s="97"/>
      <c r="Q27" s="97"/>
      <c r="R27" s="97"/>
      <c r="S27" s="97"/>
      <c r="T27" s="97"/>
      <c r="U27" s="97"/>
      <c r="V27" s="97"/>
      <c r="W27" s="97"/>
      <c r="X27" s="97"/>
      <c r="Y27" s="97"/>
      <c r="Z27" s="97"/>
      <c r="AA27" s="97"/>
      <c r="AB27" s="97"/>
      <c r="AC27" s="97"/>
      <c r="AD27" s="98"/>
      <c r="AE27" s="5"/>
      <c r="AG27" s="32" t="s">
        <v>893</v>
      </c>
      <c r="AH27" s="34" t="s">
        <v>880</v>
      </c>
      <c r="AI27" s="34" t="s">
        <v>911</v>
      </c>
      <c r="AJ27" s="31"/>
      <c r="AK27" s="31"/>
      <c r="AL27" s="31" t="str">
        <f t="shared" si="0"/>
        <v/>
      </c>
      <c r="AM27" s="31">
        <f ca="1">N(AND(fighting&gt;4,SUMIF(figspec,"Fencing",figspecval)&gt;1,COUNTIF(qualities,"Braavosi Fighter I")&gt;0))</f>
        <v>0</v>
      </c>
      <c r="AN27" s="31">
        <f t="shared" si="24"/>
        <v>26</v>
      </c>
      <c r="AO27" s="35" t="s">
        <v>21</v>
      </c>
      <c r="AP27" s="134"/>
      <c r="AQ27" s="47"/>
      <c r="AR27" s="134"/>
      <c r="AS27" s="47"/>
      <c r="AT27" s="134"/>
      <c r="AU27" s="47"/>
      <c r="AV27" s="134"/>
      <c r="AW27" s="47"/>
      <c r="AX27" s="134"/>
      <c r="AY27" s="47"/>
      <c r="AZ27" s="134"/>
      <c r="BA27" s="47"/>
      <c r="BB27" s="134"/>
      <c r="BC27" s="47"/>
      <c r="BD27" s="134"/>
      <c r="BE27" s="47"/>
      <c r="BF27" s="134"/>
      <c r="BG27" s="47"/>
      <c r="BH27" s="134"/>
      <c r="BI27" s="47"/>
      <c r="BJ27" s="134"/>
      <c r="BK27" s="47"/>
      <c r="BL27" s="134"/>
      <c r="BM27" s="47"/>
      <c r="BN27" s="134"/>
      <c r="BO27" s="47"/>
      <c r="BP27" s="134"/>
      <c r="BQ27" s="47"/>
      <c r="BR27" s="134"/>
      <c r="BS27" s="47"/>
      <c r="BT27" s="134"/>
      <c r="BU27" s="47"/>
      <c r="BV27" s="134"/>
      <c r="BW27" s="47"/>
      <c r="BX27" s="134"/>
      <c r="BY27" s="47"/>
      <c r="BZ27" s="134"/>
      <c r="CA27" s="47"/>
      <c r="CB27" s="120"/>
      <c r="CC27" s="120"/>
      <c r="CD27" s="120"/>
      <c r="CE27" s="120"/>
      <c r="CF27" s="120"/>
      <c r="CG27" s="120"/>
      <c r="CH27" s="120"/>
      <c r="CI27" s="120"/>
      <c r="CJ27" s="120"/>
      <c r="CK27" s="179" t="str">
        <f t="shared" ca="1" si="1"/>
        <v/>
      </c>
      <c r="CL27" s="37" t="str">
        <f t="shared" ca="1" si="2"/>
        <v>Favoured of Smallfolk</v>
      </c>
      <c r="CM27" s="36" t="str">
        <f t="shared" ca="1" si="16"/>
        <v/>
      </c>
      <c r="CN27" s="37" t="str">
        <f ca="1">IF($AN27&gt;CN$1,"",INDEX($AG$2:$AG$226,SMALL(CM$2:$CM$226,$AN27),1))</f>
        <v>Gifted Athlete (Acrobatics)</v>
      </c>
      <c r="CO27" s="36" t="str">
        <f t="shared" ca="1" si="17"/>
        <v/>
      </c>
      <c r="CP27" s="37" t="str">
        <f t="shared" ca="1" si="18"/>
        <v>Furtive</v>
      </c>
      <c r="CS27" s="28" t="str">
        <f t="shared" ca="1" si="3"/>
        <v/>
      </c>
      <c r="CT27" s="37" t="str">
        <f t="shared" ca="1" si="4"/>
        <v>Gifted Athlete (Acrobatics)</v>
      </c>
      <c r="CU27" s="28" t="str">
        <f t="shared" ca="1" si="3"/>
        <v/>
      </c>
      <c r="CV27" s="37" t="str">
        <f t="shared" ca="1" si="5"/>
        <v>Gifted Athlete (Acrobatics)</v>
      </c>
      <c r="CW27" s="28" t="str">
        <f t="shared" ca="1" si="6"/>
        <v/>
      </c>
      <c r="CX27" s="37" t="str">
        <f t="shared" ca="1" si="7"/>
        <v>Gifted Athlete (Acrobatics)</v>
      </c>
      <c r="CY27" s="28" t="str">
        <f t="shared" ca="1" si="8"/>
        <v/>
      </c>
      <c r="CZ27" s="37" t="str">
        <f t="shared" ca="1" si="7"/>
        <v>Gifted Athlete (Acrobatics)</v>
      </c>
      <c r="DA27" s="28" t="str">
        <f t="shared" ca="1" si="9"/>
        <v/>
      </c>
      <c r="DB27" s="37" t="str">
        <f t="shared" ca="1" si="10"/>
        <v>Gifted Athlete (Acrobatics)</v>
      </c>
      <c r="DC27" s="28" t="str">
        <f t="shared" ca="1" si="11"/>
        <v/>
      </c>
      <c r="DD27" s="37" t="str">
        <f t="shared" ca="1" si="12"/>
        <v>Gifted Athlete (Acrobatics)</v>
      </c>
      <c r="DN27" s="32">
        <v>26</v>
      </c>
      <c r="DO27" s="34" t="s">
        <v>640</v>
      </c>
      <c r="DP27" s="38">
        <f t="shared" si="13"/>
        <v>0</v>
      </c>
      <c r="DQ27" s="173" t="str">
        <f t="shared" si="19"/>
        <v>(Agil) 0</v>
      </c>
      <c r="DR27" s="36" t="str">
        <f t="shared" si="20"/>
        <v/>
      </c>
      <c r="DS27" s="37" t="str">
        <f t="shared" si="21"/>
        <v>(Endu) Stamina</v>
      </c>
      <c r="DT27" s="235">
        <f>CharGen!N31</f>
        <v>0</v>
      </c>
      <c r="DU27" s="236">
        <f>IF(DT27=0,0,CharGen!L31)</f>
        <v>0</v>
      </c>
      <c r="DV27" s="154">
        <f t="shared" si="14"/>
        <v>0</v>
      </c>
      <c r="DW27" s="243">
        <f>IF(COUNTIF('Char Sheet p1'!$AP$7:$AP$35,DQ27)=0,0,ROUNDDOWN(SUMIF('Char Sheet p1'!$AP$7:$AP$35,DQ27,'Char Sheet p1'!$AQ$7:$AQ$35)/10,0))</f>
        <v>0</v>
      </c>
      <c r="DX27" s="240">
        <f t="shared" si="22"/>
        <v>0</v>
      </c>
      <c r="DY27" s="36">
        <f t="shared" si="26"/>
        <v>26</v>
      </c>
      <c r="DZ27" s="36" t="str">
        <f t="shared" si="15"/>
        <v/>
      </c>
      <c r="EA27" s="36">
        <v>2</v>
      </c>
      <c r="EB27" s="78">
        <f>COUNT(DZ210:DZ235)</f>
        <v>0</v>
      </c>
      <c r="EC27" s="32" t="str">
        <f>IF(EA27&gt;$EB$27,"",INDEX($DP$210:$DP$235,SMALL($DZ$210:$DZ$235,EA27),1))</f>
        <v/>
      </c>
      <c r="ED27" s="39" t="str">
        <f t="shared" si="23"/>
        <v/>
      </c>
      <c r="EE27" s="55">
        <f t="shared" si="25"/>
        <v>4</v>
      </c>
    </row>
    <row r="28" spans="1:135">
      <c r="A28" s="37" t="s">
        <v>738</v>
      </c>
      <c r="B28" s="102">
        <f>4</f>
        <v>4</v>
      </c>
      <c r="C28" s="31">
        <v>-3</v>
      </c>
      <c r="D28" s="39">
        <v>1</v>
      </c>
      <c r="L28" s="16" t="str">
        <f>"Tables!"&amp;ADDRESS(2,COLUMN())&amp;":"&amp;ADDRESS(COUNTA(L$1:L27),COLUMN())</f>
        <v>Tables!$L$2:$L$6</v>
      </c>
      <c r="M28" s="16" t="str">
        <f>"Tables!"&amp;ADDRESS(2,COLUMN())&amp;":"&amp;ADDRESS(COUNTA(M$1:M27),COLUMN())</f>
        <v>Tables!$M$2:$M$5</v>
      </c>
      <c r="N28" s="16" t="str">
        <f>"Tables!"&amp;ADDRESS(2,COLUMN())&amp;":"&amp;ADDRESS(COUNTA(N$1:N27),COLUMN())</f>
        <v>Tables!$N$2:$N$7</v>
      </c>
      <c r="O28" s="16" t="str">
        <f>"Tables!"&amp;ADDRESS(2,COLUMN())&amp;":"&amp;ADDRESS(COUNTA(O$1:O27),COLUMN())</f>
        <v>Tables!$O$2:$O$3</v>
      </c>
      <c r="P28" s="16" t="str">
        <f>"Tables!"&amp;ADDRESS(2,COLUMN())&amp;":"&amp;ADDRESS(COUNTA(P$1:P27),COLUMN())</f>
        <v>Tables!$P$2:$P$4</v>
      </c>
      <c r="Q28" s="16" t="str">
        <f>"Tables!"&amp;ADDRESS(2,COLUMN())&amp;":"&amp;ADDRESS(COUNTA(Q$1:Q27),COLUMN())</f>
        <v>Tables!$Q$2:$Q$5</v>
      </c>
      <c r="R28" s="16" t="str">
        <f>"Tables!"&amp;ADDRESS(2,COLUMN())&amp;":"&amp;ADDRESS(COUNTA(R$1:R27),COLUMN())</f>
        <v>Tables!$R$2:$R$3</v>
      </c>
      <c r="S28" s="16" t="str">
        <f>"Tables!"&amp;ADDRESS(2,COLUMN())&amp;":"&amp;ADDRESS(COUNTA(S$1:S27),COLUMN())</f>
        <v>Tables!$S$2:$S$10</v>
      </c>
      <c r="T28" s="16" t="str">
        <f>"Tables!"&amp;ADDRESS(2,COLUMN())&amp;":"&amp;ADDRESS(COUNTA(T$1:T27),COLUMN())</f>
        <v>Tables!$T$2:$T$4</v>
      </c>
      <c r="U28" s="16" t="str">
        <f>"Tables!"&amp;ADDRESS(2,COLUMN())&amp;":"&amp;ADDRESS(COUNTA(U$1:U27),COLUMN())</f>
        <v>Tables!$U$2:$U$4</v>
      </c>
      <c r="V28" s="16" t="str">
        <f>"Tables!"&amp;ADDRESS(2,COLUMN())&amp;":"&amp;ADDRESS(COUNTA(V$1:V27),COLUMN())</f>
        <v>Tables!$V$2:$V$16</v>
      </c>
      <c r="W28" s="16" t="str">
        <f>"Tables!"&amp;ADDRESS(2,COLUMN())&amp;":"&amp;ADDRESS(COUNTA(W$1:W27),COLUMN())</f>
        <v>Tables!$W$2:$W$6</v>
      </c>
      <c r="X28" s="16" t="str">
        <f>"Tables!"&amp;ADDRESS(2,COLUMN())&amp;":"&amp;ADDRESS(COUNTA(X$1:X27),COLUMN())</f>
        <v>Tables!$X$2:$X$8</v>
      </c>
      <c r="Y28" s="16" t="str">
        <f>"Tables!"&amp;ADDRESS(2,COLUMN())&amp;":"&amp;ADDRESS(COUNTA(Y$1:Y27),COLUMN())</f>
        <v>Tables!$Y$2:$Y$5</v>
      </c>
      <c r="Z28" s="16" t="str">
        <f>"Tables!"&amp;ADDRESS(2,COLUMN())&amp;":"&amp;ADDRESS(COUNTA(Z$1:Z27),COLUMN())</f>
        <v>Tables!$Z$2:$Z$3</v>
      </c>
      <c r="AA28" s="16" t="str">
        <f>"Tables!"&amp;ADDRESS(2,COLUMN())&amp;":"&amp;ADDRESS(COUNTA(AA$1:AA27),COLUMN())</f>
        <v>Tables!$AA$2:$AA$5</v>
      </c>
      <c r="AB28" s="16" t="str">
        <f>"Tables!"&amp;ADDRESS(2,COLUMN())&amp;":"&amp;ADDRESS(COUNTA(AB$1:AB27),COLUMN())</f>
        <v>Tables!$AB$2:$AB$4</v>
      </c>
      <c r="AC28" s="16" t="str">
        <f>"Tables!"&amp;ADDRESS(2,COLUMN())&amp;":"&amp;ADDRESS(COUNTA(AC$1:AC27),COLUMN())</f>
        <v>Tables!$AC$2:$AC$4</v>
      </c>
      <c r="AD28" s="16" t="str">
        <f>"Tables!"&amp;ADDRESS(2,COLUMN())&amp;":"&amp;ADDRESS(COUNTA(AD$1:AD27),COLUMN())</f>
        <v>Tables!$AD$2:$AD$4</v>
      </c>
      <c r="AE28" s="5"/>
      <c r="AG28" s="32" t="s">
        <v>894</v>
      </c>
      <c r="AH28" s="34" t="s">
        <v>880</v>
      </c>
      <c r="AI28" s="34" t="s">
        <v>912</v>
      </c>
      <c r="AJ28" s="31"/>
      <c r="AK28" s="31"/>
      <c r="AL28" s="31" t="str">
        <f t="shared" si="0"/>
        <v/>
      </c>
      <c r="AM28" s="31">
        <f ca="1">N(AND(fighting&gt;5,SUMIF(figspec,"Fencing",figspecval)&gt;2,COUNTIF(qualities,"Braavosi Fighter II")&gt;0))</f>
        <v>0</v>
      </c>
      <c r="AN28" s="31">
        <f t="shared" si="24"/>
        <v>27</v>
      </c>
      <c r="AO28" s="35" t="s">
        <v>953</v>
      </c>
      <c r="AP28" s="134"/>
      <c r="AQ28" s="47"/>
      <c r="AR28" s="134"/>
      <c r="AS28" s="47"/>
      <c r="AT28" s="134"/>
      <c r="AU28" s="47"/>
      <c r="AV28" s="134"/>
      <c r="AW28" s="47"/>
      <c r="AX28" s="134"/>
      <c r="AY28" s="47"/>
      <c r="AZ28" s="134"/>
      <c r="BA28" s="47"/>
      <c r="BB28" s="134"/>
      <c r="BC28" s="47"/>
      <c r="BD28" s="134"/>
      <c r="BE28" s="47"/>
      <c r="BF28" s="134"/>
      <c r="BG28" s="47"/>
      <c r="BH28" s="134"/>
      <c r="BI28" s="47"/>
      <c r="BJ28" s="134"/>
      <c r="BK28" s="47"/>
      <c r="BL28" s="134"/>
      <c r="BM28" s="47"/>
      <c r="BN28" s="134"/>
      <c r="BO28" s="47"/>
      <c r="BP28" s="134"/>
      <c r="BQ28" s="47"/>
      <c r="BR28" s="134"/>
      <c r="BS28" s="47"/>
      <c r="BT28" s="134"/>
      <c r="BU28" s="47"/>
      <c r="BV28" s="134"/>
      <c r="BW28" s="47"/>
      <c r="BX28" s="134"/>
      <c r="BY28" s="47"/>
      <c r="BZ28" s="134"/>
      <c r="CA28" s="47"/>
      <c r="CB28" s="120"/>
      <c r="CC28" s="120"/>
      <c r="CD28" s="120"/>
      <c r="CE28" s="120"/>
      <c r="CF28" s="120"/>
      <c r="CG28" s="120"/>
      <c r="CH28" s="120"/>
      <c r="CI28" s="120"/>
      <c r="CJ28" s="120"/>
      <c r="CK28" s="179" t="str">
        <f t="shared" ca="1" si="1"/>
        <v/>
      </c>
      <c r="CL28" s="37" t="str">
        <f t="shared" ca="1" si="2"/>
        <v>Gifted Athlete (Acrobatics)</v>
      </c>
      <c r="CM28" s="36" t="str">
        <f t="shared" ca="1" si="16"/>
        <v/>
      </c>
      <c r="CN28" s="37" t="str">
        <f ca="1">IF($AN28&gt;CN$1,"",INDEX($AG$2:$AG$226,SMALL(CM$2:$CM$226,$AN28),1))</f>
        <v>Gifted Athlete (Balance)</v>
      </c>
      <c r="CO28" s="36" t="str">
        <f t="shared" ca="1" si="17"/>
        <v/>
      </c>
      <c r="CP28" s="37" t="str">
        <f t="shared" ca="1" si="18"/>
        <v>Gifted Athlete (Acrobatics)</v>
      </c>
      <c r="CS28" s="28" t="str">
        <f t="shared" ca="1" si="3"/>
        <v/>
      </c>
      <c r="CT28" s="37" t="str">
        <f t="shared" ca="1" si="4"/>
        <v>Gifted Athlete (Balance)</v>
      </c>
      <c r="CU28" s="28" t="str">
        <f t="shared" ca="1" si="3"/>
        <v/>
      </c>
      <c r="CV28" s="37" t="str">
        <f t="shared" ca="1" si="5"/>
        <v>Gifted Athlete (Balance)</v>
      </c>
      <c r="CW28" s="28" t="str">
        <f t="shared" ca="1" si="6"/>
        <v/>
      </c>
      <c r="CX28" s="37" t="str">
        <f t="shared" ca="1" si="7"/>
        <v>Gifted Athlete (Balance)</v>
      </c>
      <c r="CY28" s="28" t="str">
        <f t="shared" ca="1" si="8"/>
        <v/>
      </c>
      <c r="CZ28" s="37" t="str">
        <f t="shared" ca="1" si="7"/>
        <v>Gifted Athlete (Balance)</v>
      </c>
      <c r="DA28" s="28" t="str">
        <f t="shared" ca="1" si="9"/>
        <v/>
      </c>
      <c r="DB28" s="37" t="str">
        <f t="shared" ca="1" si="10"/>
        <v>Gifted Athlete (Balance)</v>
      </c>
      <c r="DC28" s="28" t="str">
        <f t="shared" ca="1" si="11"/>
        <v/>
      </c>
      <c r="DD28" s="37" t="str">
        <f t="shared" ca="1" si="12"/>
        <v>Gifted Athlete (Balance)</v>
      </c>
      <c r="DN28" s="32">
        <v>27</v>
      </c>
      <c r="DO28" s="34" t="s">
        <v>646</v>
      </c>
      <c r="DP28" s="38" t="str">
        <f t="shared" ref="DP28:DP53" si="28">M2</f>
        <v>Charm</v>
      </c>
      <c r="DQ28" s="173" t="str">
        <f t="shared" si="19"/>
        <v>(Anim) Charm</v>
      </c>
      <c r="DR28" s="36">
        <f t="shared" si="20"/>
        <v>27</v>
      </c>
      <c r="DS28" s="37" t="str">
        <f t="shared" si="21"/>
        <v>(Figh) Axes</v>
      </c>
      <c r="DT28" s="235">
        <f>CharGen!N32</f>
        <v>0</v>
      </c>
      <c r="DU28" s="236">
        <f>IF(DT28=0,0,CharGen!L32)</f>
        <v>0</v>
      </c>
      <c r="DV28" s="154">
        <f t="shared" si="14"/>
        <v>0</v>
      </c>
      <c r="DW28" s="243">
        <f>IF(COUNTIF('Char Sheet p1'!$AP$7:$AP$35,DQ28)=0,0,ROUNDDOWN(SUMIF('Char Sheet p1'!$AP$7:$AP$35,DQ28,'Char Sheet p1'!$AQ$7:$AQ$35)/10,0))</f>
        <v>0</v>
      </c>
      <c r="DX28" s="240">
        <f t="shared" si="22"/>
        <v>0</v>
      </c>
      <c r="DY28" s="36">
        <v>1</v>
      </c>
      <c r="DZ28" s="36" t="str">
        <f t="shared" si="15"/>
        <v/>
      </c>
      <c r="EA28" s="55">
        <v>3</v>
      </c>
      <c r="EC28" s="41" t="str">
        <f>IF(EA28&gt;$EB$27,"",INDEX($DP$210:$DP$235,SMALL($DZ$210:$DZ$235,EA28),1))</f>
        <v/>
      </c>
      <c r="ED28" s="43" t="str">
        <f t="shared" si="23"/>
        <v/>
      </c>
      <c r="EE28" s="245">
        <f>'Char Sheet p1'!B9</f>
        <v>3</v>
      </c>
    </row>
    <row r="29" spans="1:135" ht="11.25">
      <c r="A29" s="37" t="s">
        <v>739</v>
      </c>
      <c r="B29" s="102">
        <f>4</f>
        <v>4</v>
      </c>
      <c r="C29" s="31">
        <v>-3</v>
      </c>
      <c r="D29" s="39">
        <v>1</v>
      </c>
      <c r="L29" s="60"/>
      <c r="M29" s="60"/>
      <c r="N29" s="60"/>
      <c r="O29" s="60"/>
      <c r="P29" s="60"/>
      <c r="Q29" s="60"/>
      <c r="R29" s="60"/>
      <c r="S29" s="60"/>
      <c r="T29" s="60"/>
      <c r="U29" s="60"/>
      <c r="V29" s="60"/>
      <c r="W29" s="60"/>
      <c r="X29" s="60"/>
      <c r="Y29" s="60"/>
      <c r="Z29" s="60"/>
      <c r="AA29" s="60"/>
      <c r="AB29" s="60"/>
      <c r="AC29" s="16"/>
      <c r="AD29" s="16"/>
      <c r="AG29" s="32" t="s">
        <v>843</v>
      </c>
      <c r="AH29" s="34" t="s">
        <v>880</v>
      </c>
      <c r="AI29" s="34" t="s">
        <v>913</v>
      </c>
      <c r="AJ29" s="31"/>
      <c r="AK29" s="31"/>
      <c r="AL29" s="31" t="str">
        <f t="shared" si="0"/>
        <v/>
      </c>
      <c r="AM29" s="31">
        <f ca="1">N(AND(fighting&gt;3,SUMIF(figspec,"Brawling",figspecval)&gt;0))</f>
        <v>0</v>
      </c>
      <c r="AN29" s="31">
        <f t="shared" si="24"/>
        <v>28</v>
      </c>
      <c r="AO29" s="35" t="s">
        <v>22</v>
      </c>
      <c r="AP29" s="134"/>
      <c r="AQ29" s="47"/>
      <c r="AR29" s="134"/>
      <c r="AS29" s="47"/>
      <c r="AT29" s="134"/>
      <c r="AU29" s="47"/>
      <c r="AV29" s="134"/>
      <c r="AW29" s="47"/>
      <c r="AX29" s="134"/>
      <c r="AY29" s="47"/>
      <c r="AZ29" s="134"/>
      <c r="BA29" s="47"/>
      <c r="BB29" s="134"/>
      <c r="BC29" s="47"/>
      <c r="BD29" s="134"/>
      <c r="BE29" s="47"/>
      <c r="BF29" s="134"/>
      <c r="BG29" s="47"/>
      <c r="BH29" s="134"/>
      <c r="BI29" s="47"/>
      <c r="BJ29" s="134"/>
      <c r="BK29" s="47"/>
      <c r="BL29" s="134"/>
      <c r="BM29" s="47"/>
      <c r="BN29" s="134"/>
      <c r="BO29" s="47"/>
      <c r="BP29" s="134"/>
      <c r="BQ29" s="47"/>
      <c r="BR29" s="134"/>
      <c r="BS29" s="47"/>
      <c r="BT29" s="134"/>
      <c r="BU29" s="47"/>
      <c r="BV29" s="134"/>
      <c r="BW29" s="47"/>
      <c r="BX29" s="134"/>
      <c r="BY29" s="47"/>
      <c r="BZ29" s="134"/>
      <c r="CA29" s="47"/>
      <c r="CB29" s="120"/>
      <c r="CC29" s="120"/>
      <c r="CD29" s="120"/>
      <c r="CE29" s="120"/>
      <c r="CF29" s="120"/>
      <c r="CG29" s="120"/>
      <c r="CH29" s="120"/>
      <c r="CI29" s="120"/>
      <c r="CJ29" s="120"/>
      <c r="CK29" s="179" t="str">
        <f t="shared" ca="1" si="1"/>
        <v/>
      </c>
      <c r="CL29" s="37" t="str">
        <f t="shared" ca="1" si="2"/>
        <v>Gifted Athlete (Balance)</v>
      </c>
      <c r="CM29" s="36" t="str">
        <f t="shared" ca="1" si="16"/>
        <v/>
      </c>
      <c r="CN29" s="37" t="str">
        <f ca="1">IF($AN29&gt;CN$1,"",INDEX($AG$2:$AG$226,SMALL(CM$2:$CM$226,$AN29),1))</f>
        <v>Gifted Athlete (Contortions)</v>
      </c>
      <c r="CO29" s="36" t="str">
        <f t="shared" ca="1" si="17"/>
        <v/>
      </c>
      <c r="CP29" s="37" t="str">
        <f t="shared" ca="1" si="18"/>
        <v>Gifted Athlete (Balance)</v>
      </c>
      <c r="CS29" s="28" t="str">
        <f t="shared" ca="1" si="3"/>
        <v/>
      </c>
      <c r="CT29" s="37" t="str">
        <f t="shared" ca="1" si="4"/>
        <v>Gifted Athlete (Contortions)</v>
      </c>
      <c r="CU29" s="28" t="str">
        <f t="shared" ca="1" si="3"/>
        <v/>
      </c>
      <c r="CV29" s="37" t="str">
        <f t="shared" ca="1" si="5"/>
        <v>Gifted Athlete (Contortions)</v>
      </c>
      <c r="CW29" s="28" t="str">
        <f t="shared" ca="1" si="6"/>
        <v/>
      </c>
      <c r="CX29" s="37" t="str">
        <f t="shared" ca="1" si="7"/>
        <v>Gifted Athlete (Contortions)</v>
      </c>
      <c r="CY29" s="28" t="str">
        <f t="shared" ca="1" si="8"/>
        <v/>
      </c>
      <c r="CZ29" s="37" t="str">
        <f t="shared" ca="1" si="7"/>
        <v>Gifted Athlete (Contortions)</v>
      </c>
      <c r="DA29" s="28" t="str">
        <f t="shared" ca="1" si="9"/>
        <v/>
      </c>
      <c r="DB29" s="37" t="str">
        <f t="shared" ca="1" si="10"/>
        <v>Gifted Athlete (Contortions)</v>
      </c>
      <c r="DC29" s="28" t="str">
        <f t="shared" ca="1" si="11"/>
        <v/>
      </c>
      <c r="DD29" s="37" t="str">
        <f t="shared" ca="1" si="12"/>
        <v>Gifted Athlete (Contortions)</v>
      </c>
      <c r="DN29" s="32">
        <v>28</v>
      </c>
      <c r="DO29" s="34" t="s">
        <v>646</v>
      </c>
      <c r="DP29" s="38" t="str">
        <f t="shared" si="28"/>
        <v>Drive</v>
      </c>
      <c r="DQ29" s="173" t="str">
        <f t="shared" si="19"/>
        <v>(Anim) Drive</v>
      </c>
      <c r="DR29" s="36">
        <f t="shared" si="20"/>
        <v>28</v>
      </c>
      <c r="DS29" s="37" t="str">
        <f t="shared" si="21"/>
        <v>(Figh) Bludgeons</v>
      </c>
      <c r="DT29" s="235">
        <f>CharGen!N33</f>
        <v>0</v>
      </c>
      <c r="DU29" s="236">
        <f>IF(DT29=0,0,CharGen!L33)</f>
        <v>0</v>
      </c>
      <c r="DV29" s="154">
        <f t="shared" si="14"/>
        <v>0</v>
      </c>
      <c r="DW29" s="243">
        <f>IF(COUNTIF('Char Sheet p1'!$AP$7:$AP$35,DQ29)=0,0,ROUNDDOWN(SUMIF('Char Sheet p1'!$AP$7:$AP$35,DQ29,'Char Sheet p1'!$AQ$7:$AQ$35)/10,0))</f>
        <v>0</v>
      </c>
      <c r="DX29" s="240">
        <f t="shared" si="22"/>
        <v>0</v>
      </c>
      <c r="DY29" s="36">
        <v>2</v>
      </c>
      <c r="DZ29" s="36" t="str">
        <f t="shared" si="15"/>
        <v/>
      </c>
      <c r="EA29" s="245">
        <v>1</v>
      </c>
      <c r="EB29" s="75" t="str">
        <f>DO236</f>
        <v>Knowledge</v>
      </c>
      <c r="EC29" s="246" t="str">
        <f>IF(EA29&gt;$EB$30,"",INDEX($DP$236:$DP$261,SMALL($DZ$236:$DZ$261,EA29),1))</f>
        <v/>
      </c>
      <c r="ED29" s="247" t="str">
        <f t="shared" si="23"/>
        <v/>
      </c>
      <c r="EE29" s="36">
        <f>EE28</f>
        <v>3</v>
      </c>
    </row>
    <row r="30" spans="1:135" ht="11.25">
      <c r="A30" s="37" t="s">
        <v>741</v>
      </c>
      <c r="B30" s="102">
        <f>4</f>
        <v>4</v>
      </c>
      <c r="C30" s="31">
        <v>-2</v>
      </c>
      <c r="D30" s="39">
        <v>1</v>
      </c>
      <c r="X30" s="16"/>
      <c r="Y30" s="16"/>
      <c r="Z30" s="16"/>
      <c r="AA30" s="16"/>
      <c r="AB30" s="16"/>
      <c r="AC30" s="16"/>
      <c r="AD30" s="16"/>
      <c r="AG30" s="32" t="s">
        <v>895</v>
      </c>
      <c r="AH30" s="34" t="s">
        <v>880</v>
      </c>
      <c r="AI30" s="34" t="s">
        <v>914</v>
      </c>
      <c r="AJ30" s="31"/>
      <c r="AK30" s="31"/>
      <c r="AL30" s="31" t="str">
        <f t="shared" si="0"/>
        <v/>
      </c>
      <c r="AM30" s="31">
        <f ca="1">N(AND(fighting&gt;4,SUMIF(figspec,"Brawling",figspecval)&gt;2,COUNTIF(qualities,"Brawler I")&gt;0))</f>
        <v>0</v>
      </c>
      <c r="AN30" s="31">
        <f t="shared" si="24"/>
        <v>29</v>
      </c>
      <c r="AO30" s="35" t="s">
        <v>954</v>
      </c>
      <c r="AP30" s="134"/>
      <c r="AQ30" s="47"/>
      <c r="AR30" s="134"/>
      <c r="AS30" s="47"/>
      <c r="AT30" s="134"/>
      <c r="AU30" s="47"/>
      <c r="AV30" s="134"/>
      <c r="AW30" s="47"/>
      <c r="AX30" s="134"/>
      <c r="AY30" s="47"/>
      <c r="AZ30" s="134"/>
      <c r="BA30" s="47"/>
      <c r="BB30" s="134"/>
      <c r="BC30" s="47"/>
      <c r="BD30" s="134"/>
      <c r="BE30" s="47"/>
      <c r="BF30" s="134"/>
      <c r="BG30" s="47"/>
      <c r="BH30" s="134"/>
      <c r="BI30" s="47"/>
      <c r="BJ30" s="134"/>
      <c r="BK30" s="47"/>
      <c r="BL30" s="134"/>
      <c r="BM30" s="47"/>
      <c r="BN30" s="134"/>
      <c r="BO30" s="47"/>
      <c r="BP30" s="134"/>
      <c r="BQ30" s="47"/>
      <c r="BR30" s="134"/>
      <c r="BS30" s="47"/>
      <c r="BT30" s="134"/>
      <c r="BU30" s="47"/>
      <c r="BV30" s="134"/>
      <c r="BW30" s="47"/>
      <c r="BX30" s="134"/>
      <c r="BY30" s="47"/>
      <c r="BZ30" s="134"/>
      <c r="CA30" s="47"/>
      <c r="CB30" s="120"/>
      <c r="CC30" s="120"/>
      <c r="CD30" s="120"/>
      <c r="CE30" s="120"/>
      <c r="CF30" s="120"/>
      <c r="CG30" s="120"/>
      <c r="CH30" s="120"/>
      <c r="CI30" s="120"/>
      <c r="CJ30" s="120"/>
      <c r="CK30" s="179" t="str">
        <f t="shared" ca="1" si="1"/>
        <v/>
      </c>
      <c r="CL30" s="37" t="str">
        <f t="shared" ca="1" si="2"/>
        <v>Gifted Athlete (Contortions)</v>
      </c>
      <c r="CM30" s="36" t="str">
        <f t="shared" ca="1" si="16"/>
        <v/>
      </c>
      <c r="CN30" s="37" t="str">
        <f ca="1">IF($AN30&gt;CN$1,"",INDEX($AG$2:$AG$226,SMALL(CM$2:$CM$226,$AN30),1))</f>
        <v>Gifted Athlete (Dodge)</v>
      </c>
      <c r="CO30" s="36" t="str">
        <f t="shared" ca="1" si="17"/>
        <v/>
      </c>
      <c r="CP30" s="37" t="str">
        <f t="shared" ca="1" si="18"/>
        <v>Gifted Athlete (Contortions)</v>
      </c>
      <c r="CS30" s="28" t="str">
        <f t="shared" ca="1" si="3"/>
        <v/>
      </c>
      <c r="CT30" s="37" t="str">
        <f t="shared" ca="1" si="4"/>
        <v>Gifted Athlete (Dodge)</v>
      </c>
      <c r="CU30" s="28" t="str">
        <f t="shared" ca="1" si="3"/>
        <v/>
      </c>
      <c r="CV30" s="37" t="str">
        <f t="shared" ca="1" si="5"/>
        <v>Gifted Athlete (Dodge)</v>
      </c>
      <c r="CW30" s="28" t="str">
        <f t="shared" ca="1" si="6"/>
        <v/>
      </c>
      <c r="CX30" s="37" t="str">
        <f t="shared" ca="1" si="7"/>
        <v>Gifted Athlete (Dodge)</v>
      </c>
      <c r="CY30" s="28" t="str">
        <f t="shared" ca="1" si="8"/>
        <v/>
      </c>
      <c r="CZ30" s="37" t="str">
        <f t="shared" ca="1" si="7"/>
        <v>Gifted Athlete (Dodge)</v>
      </c>
      <c r="DA30" s="28" t="str">
        <f t="shared" ca="1" si="9"/>
        <v/>
      </c>
      <c r="DB30" s="37" t="str">
        <f t="shared" ca="1" si="10"/>
        <v>Gifted Athlete (Dodge)</v>
      </c>
      <c r="DC30" s="28" t="str">
        <f t="shared" ca="1" si="11"/>
        <v/>
      </c>
      <c r="DD30" s="37" t="str">
        <f t="shared" ca="1" si="12"/>
        <v>Gifted Athlete (Dodge)</v>
      </c>
      <c r="DN30" s="32">
        <v>29</v>
      </c>
      <c r="DO30" s="34" t="s">
        <v>646</v>
      </c>
      <c r="DP30" s="38" t="str">
        <f t="shared" si="28"/>
        <v>Ride</v>
      </c>
      <c r="DQ30" s="173" t="str">
        <f t="shared" si="19"/>
        <v>(Anim) Ride</v>
      </c>
      <c r="DR30" s="36">
        <f t="shared" si="20"/>
        <v>29</v>
      </c>
      <c r="DS30" s="37" t="str">
        <f t="shared" si="21"/>
        <v>(Figh) Brawling</v>
      </c>
      <c r="DT30" s="235">
        <f>CharGen!N34</f>
        <v>0</v>
      </c>
      <c r="DU30" s="236">
        <f>IF(DT30=0,0,CharGen!L34)</f>
        <v>0</v>
      </c>
      <c r="DV30" s="154">
        <f t="shared" si="14"/>
        <v>0</v>
      </c>
      <c r="DW30" s="243">
        <f>IF(COUNTIF('Char Sheet p1'!$AP$7:$AP$35,DQ30)=0,0,ROUNDDOWN(SUMIF('Char Sheet p1'!$AP$7:$AP$35,DQ30,'Char Sheet p1'!$AQ$7:$AQ$35)/10,0))</f>
        <v>0</v>
      </c>
      <c r="DX30" s="240">
        <f t="shared" si="22"/>
        <v>0</v>
      </c>
      <c r="DY30" s="36">
        <v>3</v>
      </c>
      <c r="DZ30" s="36" t="str">
        <f t="shared" si="15"/>
        <v/>
      </c>
      <c r="EA30" s="36">
        <v>2</v>
      </c>
      <c r="EB30" s="78">
        <f>COUNT(DZ236:DZ261)</f>
        <v>0</v>
      </c>
      <c r="EC30" s="32" t="str">
        <f>IF(EA30&gt;$EB$30,"",INDEX($DP$236:$DP$261,SMALL($DZ$236:$DZ$261,EA30),1))</f>
        <v/>
      </c>
      <c r="ED30" s="39" t="str">
        <f t="shared" si="23"/>
        <v/>
      </c>
      <c r="EE30" s="36">
        <f t="shared" ref="EE30:EE53" si="29">EE29</f>
        <v>3</v>
      </c>
    </row>
    <row r="31" spans="1:135">
      <c r="A31" s="37" t="s">
        <v>742</v>
      </c>
      <c r="B31" s="102">
        <f>5</f>
        <v>5</v>
      </c>
      <c r="C31" s="31">
        <v>-3</v>
      </c>
      <c r="D31" s="39">
        <v>3</v>
      </c>
      <c r="X31" s="16"/>
      <c r="Y31" s="16"/>
      <c r="Z31" s="16"/>
      <c r="AA31" s="16"/>
      <c r="AB31" s="16"/>
      <c r="AC31" s="16"/>
      <c r="AD31" s="16"/>
      <c r="AG31" s="32" t="s">
        <v>896</v>
      </c>
      <c r="AH31" s="34" t="s">
        <v>880</v>
      </c>
      <c r="AI31" s="34" t="s">
        <v>915</v>
      </c>
      <c r="AJ31" s="31"/>
      <c r="AK31" s="31"/>
      <c r="AL31" s="31" t="str">
        <f t="shared" si="0"/>
        <v/>
      </c>
      <c r="AM31" s="31">
        <f ca="1">N(AND(fighting&gt;5,SUMIF(figspec,"Brawling",figspecval)&gt;4,COUNTIF(qualities,"Brawler I")&gt;0))</f>
        <v>0</v>
      </c>
      <c r="AN31" s="31">
        <f t="shared" si="24"/>
        <v>30</v>
      </c>
      <c r="AO31" s="35" t="s">
        <v>23</v>
      </c>
      <c r="AP31" s="134"/>
      <c r="AQ31" s="47"/>
      <c r="AR31" s="134"/>
      <c r="AS31" s="47"/>
      <c r="AT31" s="134"/>
      <c r="AU31" s="47"/>
      <c r="AV31" s="134"/>
      <c r="AW31" s="47"/>
      <c r="AX31" s="134"/>
      <c r="AY31" s="47"/>
      <c r="AZ31" s="134"/>
      <c r="BA31" s="47"/>
      <c r="BB31" s="134"/>
      <c r="BC31" s="47"/>
      <c r="BD31" s="134"/>
      <c r="BE31" s="47"/>
      <c r="BF31" s="134"/>
      <c r="BG31" s="47"/>
      <c r="BH31" s="134"/>
      <c r="BI31" s="47"/>
      <c r="BJ31" s="134"/>
      <c r="BK31" s="47"/>
      <c r="BL31" s="134"/>
      <c r="BM31" s="47"/>
      <c r="BN31" s="134"/>
      <c r="BO31" s="47"/>
      <c r="BP31" s="134"/>
      <c r="BQ31" s="47"/>
      <c r="BR31" s="134"/>
      <c r="BS31" s="47"/>
      <c r="BT31" s="134"/>
      <c r="BU31" s="47"/>
      <c r="BV31" s="134"/>
      <c r="BW31" s="47"/>
      <c r="BX31" s="134"/>
      <c r="BY31" s="47"/>
      <c r="BZ31" s="134"/>
      <c r="CA31" s="47"/>
      <c r="CB31" s="120"/>
      <c r="CC31" s="120"/>
      <c r="CD31" s="120"/>
      <c r="CE31" s="120"/>
      <c r="CF31" s="120"/>
      <c r="CG31" s="120"/>
      <c r="CH31" s="120"/>
      <c r="CI31" s="120"/>
      <c r="CJ31" s="120"/>
      <c r="CK31" s="179" t="str">
        <f t="shared" ca="1" si="1"/>
        <v/>
      </c>
      <c r="CL31" s="37" t="str">
        <f t="shared" ca="1" si="2"/>
        <v>Gifted Athlete (Dodge)</v>
      </c>
      <c r="CM31" s="36" t="str">
        <f t="shared" ca="1" si="16"/>
        <v/>
      </c>
      <c r="CN31" s="37" t="str">
        <f ca="1">IF($AN31&gt;CN$1,"",INDEX($AG$2:$AG$226,SMALL(CM$2:$CM$226,$AN31),1))</f>
        <v>Gifted Athlete (Quickness)</v>
      </c>
      <c r="CO31" s="36" t="str">
        <f t="shared" ca="1" si="17"/>
        <v/>
      </c>
      <c r="CP31" s="37" t="str">
        <f t="shared" ca="1" si="18"/>
        <v>Gifted Athlete (Dodge)</v>
      </c>
      <c r="CS31" s="28" t="str">
        <f t="shared" ca="1" si="3"/>
        <v/>
      </c>
      <c r="CT31" s="37" t="str">
        <f t="shared" ca="1" si="4"/>
        <v>Gifted Athlete (Quickness)</v>
      </c>
      <c r="CU31" s="28" t="str">
        <f t="shared" ca="1" si="3"/>
        <v/>
      </c>
      <c r="CV31" s="37" t="str">
        <f t="shared" ca="1" si="5"/>
        <v>Gifted Athlete (Quickness)</v>
      </c>
      <c r="CW31" s="28" t="str">
        <f t="shared" ca="1" si="6"/>
        <v/>
      </c>
      <c r="CX31" s="37" t="str">
        <f t="shared" ca="1" si="7"/>
        <v>Gifted Athlete (Quickness)</v>
      </c>
      <c r="CY31" s="28" t="str">
        <f t="shared" ca="1" si="8"/>
        <v/>
      </c>
      <c r="CZ31" s="37" t="str">
        <f t="shared" ca="1" si="7"/>
        <v>Gifted Athlete (Quickness)</v>
      </c>
      <c r="DA31" s="28" t="str">
        <f t="shared" ca="1" si="9"/>
        <v/>
      </c>
      <c r="DB31" s="37" t="str">
        <f t="shared" ca="1" si="10"/>
        <v>Gifted Athlete (Quickness)</v>
      </c>
      <c r="DC31" s="28" t="str">
        <f t="shared" ca="1" si="11"/>
        <v/>
      </c>
      <c r="DD31" s="37" t="str">
        <f t="shared" ca="1" si="12"/>
        <v>Gifted Athlete (Quickness)</v>
      </c>
      <c r="DN31" s="32">
        <v>30</v>
      </c>
      <c r="DO31" s="34" t="s">
        <v>646</v>
      </c>
      <c r="DP31" s="38" t="str">
        <f t="shared" si="28"/>
        <v>Train</v>
      </c>
      <c r="DQ31" s="173" t="str">
        <f t="shared" si="19"/>
        <v>(Anim) Train</v>
      </c>
      <c r="DR31" s="36">
        <f t="shared" si="20"/>
        <v>30</v>
      </c>
      <c r="DS31" s="37" t="str">
        <f t="shared" si="21"/>
        <v>(Figh) Fencing</v>
      </c>
      <c r="DT31" s="235">
        <f>CharGen!N35</f>
        <v>0</v>
      </c>
      <c r="DU31" s="236">
        <f>IF(DT31=0,0,CharGen!L35)</f>
        <v>0</v>
      </c>
      <c r="DV31" s="154">
        <f t="shared" si="14"/>
        <v>0</v>
      </c>
      <c r="DW31" s="243">
        <f>IF(COUNTIF('Char Sheet p1'!$AP$7:$AP$35,DQ31)=0,0,ROUNDDOWN(SUMIF('Char Sheet p1'!$AP$7:$AP$35,DQ31,'Char Sheet p1'!$AQ$7:$AQ$35)/10,0))</f>
        <v>0</v>
      </c>
      <c r="DX31" s="240">
        <f t="shared" si="22"/>
        <v>0</v>
      </c>
      <c r="DY31" s="36">
        <v>4</v>
      </c>
      <c r="DZ31" s="36" t="str">
        <f t="shared" si="15"/>
        <v/>
      </c>
      <c r="EA31" s="55">
        <v>3</v>
      </c>
      <c r="EC31" s="41" t="str">
        <f>IF(EA31&gt;$EB$30,"",INDEX($DP$236:$DP$261,SMALL($DZ$236:$DZ$261,EA31),1))</f>
        <v/>
      </c>
      <c r="ED31" s="43" t="str">
        <f t="shared" si="23"/>
        <v/>
      </c>
      <c r="EE31" s="36">
        <f t="shared" si="29"/>
        <v>3</v>
      </c>
    </row>
    <row r="32" spans="1:135" ht="11.25">
      <c r="A32" s="37" t="s">
        <v>743</v>
      </c>
      <c r="B32" s="102">
        <f>5</f>
        <v>5</v>
      </c>
      <c r="C32" s="31">
        <v>-3</v>
      </c>
      <c r="D32" s="39">
        <v>2</v>
      </c>
      <c r="X32" s="16"/>
      <c r="Y32" s="16"/>
      <c r="Z32" s="16"/>
      <c r="AA32" s="16"/>
      <c r="AB32" s="16"/>
      <c r="AC32" s="16"/>
      <c r="AD32" s="16"/>
      <c r="AG32" s="32" t="s">
        <v>341</v>
      </c>
      <c r="AH32" s="34" t="s">
        <v>789</v>
      </c>
      <c r="AI32" s="34"/>
      <c r="AJ32" s="31"/>
      <c r="AK32" s="31">
        <f>COUNTIF(qualities,AG32)</f>
        <v>0</v>
      </c>
      <c r="AL32" s="31" t="str">
        <f t="shared" si="0"/>
        <v/>
      </c>
      <c r="AM32" s="31">
        <f>N(birthright=0)</f>
        <v>1</v>
      </c>
      <c r="AN32" s="31">
        <f t="shared" si="24"/>
        <v>31</v>
      </c>
      <c r="AO32" s="35" t="s">
        <v>25</v>
      </c>
      <c r="AP32" s="134"/>
      <c r="AQ32" s="47"/>
      <c r="AR32" s="134"/>
      <c r="AS32" s="47"/>
      <c r="AT32" s="134"/>
      <c r="AU32" s="47"/>
      <c r="AV32" s="134"/>
      <c r="AW32" s="47"/>
      <c r="AX32" s="134"/>
      <c r="AY32" s="47"/>
      <c r="AZ32" s="134"/>
      <c r="BA32" s="47"/>
      <c r="BB32" s="134"/>
      <c r="BC32" s="47"/>
      <c r="BD32" s="134"/>
      <c r="BE32" s="47"/>
      <c r="BF32" s="134"/>
      <c r="BG32" s="47"/>
      <c r="BH32" s="134"/>
      <c r="BI32" s="47"/>
      <c r="BJ32" s="134"/>
      <c r="BK32" s="47"/>
      <c r="BL32" s="134"/>
      <c r="BM32" s="47"/>
      <c r="BN32" s="134"/>
      <c r="BO32" s="47"/>
      <c r="BP32" s="134">
        <f>2-status</f>
        <v>1</v>
      </c>
      <c r="BQ32" s="47"/>
      <c r="BR32" s="134"/>
      <c r="BS32" s="47"/>
      <c r="BT32" s="134"/>
      <c r="BU32" s="47"/>
      <c r="BV32" s="134"/>
      <c r="BW32" s="47"/>
      <c r="BX32" s="134"/>
      <c r="BY32" s="47"/>
      <c r="BZ32" s="134"/>
      <c r="CA32" s="47"/>
      <c r="CB32" s="120"/>
      <c r="CC32" s="120">
        <f>BP32</f>
        <v>1</v>
      </c>
      <c r="CD32" s="120"/>
      <c r="CE32" s="120"/>
      <c r="CF32" s="120"/>
      <c r="CG32" s="120"/>
      <c r="CH32" s="120"/>
      <c r="CI32" s="120"/>
      <c r="CJ32" s="120"/>
      <c r="CK32" s="179">
        <f t="shared" si="1"/>
        <v>31</v>
      </c>
      <c r="CL32" s="37" t="str">
        <f t="shared" ca="1" si="2"/>
        <v>Gifted Athlete (Quickness)</v>
      </c>
      <c r="CM32" s="36">
        <f t="shared" si="16"/>
        <v>31</v>
      </c>
      <c r="CN32" s="37" t="str">
        <f ca="1">IF($AN32&gt;CN$1,"",INDEX($AG$2:$AG$226,SMALL(CM$2:$CM$226,$AN32),1))</f>
        <v>Guttersnipe</v>
      </c>
      <c r="CO32" s="36">
        <f t="shared" si="17"/>
        <v>31</v>
      </c>
      <c r="CP32" s="37" t="str">
        <f t="shared" ca="1" si="18"/>
        <v>Gifted Athlete (Quickness)</v>
      </c>
      <c r="CS32" s="28">
        <f t="shared" si="3"/>
        <v>31</v>
      </c>
      <c r="CT32" s="37" t="str">
        <f t="shared" ca="1" si="4"/>
        <v>Guttersnipe</v>
      </c>
      <c r="CU32" s="28">
        <f t="shared" si="3"/>
        <v>31</v>
      </c>
      <c r="CV32" s="37" t="str">
        <f t="shared" ca="1" si="5"/>
        <v>Guttersnipe</v>
      </c>
      <c r="CW32" s="28">
        <f t="shared" si="6"/>
        <v>31</v>
      </c>
      <c r="CX32" s="37" t="str">
        <f t="shared" ca="1" si="7"/>
        <v>Guttersnipe</v>
      </c>
      <c r="CY32" s="28">
        <f t="shared" si="8"/>
        <v>31</v>
      </c>
      <c r="CZ32" s="37" t="str">
        <f t="shared" ca="1" si="7"/>
        <v>Guttersnipe</v>
      </c>
      <c r="DA32" s="28">
        <f t="shared" si="9"/>
        <v>31</v>
      </c>
      <c r="DB32" s="37" t="str">
        <f t="shared" ca="1" si="10"/>
        <v>Guttersnipe</v>
      </c>
      <c r="DC32" s="28">
        <f t="shared" si="11"/>
        <v>31</v>
      </c>
      <c r="DD32" s="37" t="str">
        <f t="shared" ca="1" si="12"/>
        <v>Guttersnipe</v>
      </c>
      <c r="DN32" s="32">
        <v>31</v>
      </c>
      <c r="DO32" s="34" t="s">
        <v>646</v>
      </c>
      <c r="DP32" s="38">
        <f t="shared" si="28"/>
        <v>0</v>
      </c>
      <c r="DQ32" s="173" t="str">
        <f t="shared" si="19"/>
        <v>(Anim) 0</v>
      </c>
      <c r="DR32" s="36" t="str">
        <f t="shared" si="20"/>
        <v/>
      </c>
      <c r="DS32" s="37" t="str">
        <f t="shared" si="21"/>
        <v>(Figh) Long Blades</v>
      </c>
      <c r="DT32" s="235">
        <f>CharGen!AD6</f>
        <v>0</v>
      </c>
      <c r="DU32" s="236">
        <f>IF(DT32=0,0,CharGen!AC6)</f>
        <v>0</v>
      </c>
      <c r="DV32" s="154">
        <f t="shared" si="14"/>
        <v>0</v>
      </c>
      <c r="DW32" s="243">
        <f>IF(COUNTIF('Char Sheet p1'!$AP$7:$AP$35,DQ32)=0,0,ROUNDDOWN(SUMIF('Char Sheet p1'!$AP$7:$AP$35,DQ32,'Char Sheet p1'!$AQ$7:$AQ$35)/10,0))</f>
        <v>0</v>
      </c>
      <c r="DX32" s="240">
        <f t="shared" si="22"/>
        <v>0</v>
      </c>
      <c r="DY32" s="36">
        <f>DY31+1</f>
        <v>5</v>
      </c>
      <c r="DZ32" s="36" t="str">
        <f t="shared" si="15"/>
        <v/>
      </c>
      <c r="EA32" s="245">
        <v>1</v>
      </c>
      <c r="EB32" s="75" t="str">
        <f>DO262</f>
        <v>Markmanship</v>
      </c>
      <c r="EC32" s="246" t="str">
        <f>IF(EA32&gt;$EB$33,"",INDEX($DP$262:$DP$287,SMALL($DZ$262:$DZ$287,EA32),1))</f>
        <v/>
      </c>
      <c r="ED32" s="247" t="str">
        <f t="shared" si="23"/>
        <v/>
      </c>
      <c r="EE32" s="36">
        <f t="shared" si="29"/>
        <v>3</v>
      </c>
    </row>
    <row r="33" spans="1:135" ht="11.25">
      <c r="A33" s="37" t="s">
        <v>744</v>
      </c>
      <c r="B33" s="102">
        <f>5</f>
        <v>5</v>
      </c>
      <c r="C33" s="31">
        <v>-2</v>
      </c>
      <c r="D33" s="39">
        <v>3</v>
      </c>
      <c r="F33" s="181" t="s">
        <v>446</v>
      </c>
      <c r="G33" s="182" t="s">
        <v>408</v>
      </c>
      <c r="H33" s="11" t="s">
        <v>450</v>
      </c>
      <c r="I33" s="12" t="s">
        <v>433</v>
      </c>
      <c r="J33" s="12" t="s">
        <v>452</v>
      </c>
      <c r="X33" s="16"/>
      <c r="Y33" s="16"/>
      <c r="Z33" s="16"/>
      <c r="AA33" s="16"/>
      <c r="AB33" s="16"/>
      <c r="AC33" s="16"/>
      <c r="AD33" s="16"/>
      <c r="AG33" s="32" t="s">
        <v>340</v>
      </c>
      <c r="AH33" s="34" t="s">
        <v>789</v>
      </c>
      <c r="AI33" s="34"/>
      <c r="AJ33" s="31"/>
      <c r="AK33" s="31">
        <f>COUNTIF(qualities,AG33)</f>
        <v>0</v>
      </c>
      <c r="AL33" s="31" t="str">
        <f t="shared" si="0"/>
        <v/>
      </c>
      <c r="AM33" s="31">
        <f>N(birthright=0)</f>
        <v>1</v>
      </c>
      <c r="AN33" s="31">
        <f t="shared" si="24"/>
        <v>32</v>
      </c>
      <c r="AO33" s="35" t="s">
        <v>24</v>
      </c>
      <c r="AP33" s="134"/>
      <c r="AQ33" s="47"/>
      <c r="AR33" s="134"/>
      <c r="AS33" s="47"/>
      <c r="AT33" s="134"/>
      <c r="AU33" s="47"/>
      <c r="AV33" s="134"/>
      <c r="AW33" s="47"/>
      <c r="AX33" s="134"/>
      <c r="AY33" s="47"/>
      <c r="AZ33" s="134"/>
      <c r="BA33" s="47"/>
      <c r="BB33" s="134"/>
      <c r="BC33" s="47"/>
      <c r="BD33" s="134"/>
      <c r="BE33" s="47"/>
      <c r="BF33" s="134"/>
      <c r="BG33" s="47"/>
      <c r="BH33" s="134"/>
      <c r="BI33" s="47"/>
      <c r="BJ33" s="134"/>
      <c r="BK33" s="47"/>
      <c r="BL33" s="134"/>
      <c r="BM33" s="47"/>
      <c r="BN33" s="134"/>
      <c r="BO33" s="47"/>
      <c r="BP33" s="134">
        <f>2-status</f>
        <v>1</v>
      </c>
      <c r="BQ33" s="47"/>
      <c r="BR33" s="134"/>
      <c r="BS33" s="47"/>
      <c r="BT33" s="134"/>
      <c r="BU33" s="47">
        <f>+cunning</f>
        <v>2</v>
      </c>
      <c r="BV33" s="134"/>
      <c r="BW33" s="47"/>
      <c r="BX33" s="134"/>
      <c r="BY33" s="47"/>
      <c r="BZ33" s="134"/>
      <c r="CA33" s="47"/>
      <c r="CB33" s="120"/>
      <c r="CC33" s="120">
        <f>BP33</f>
        <v>1</v>
      </c>
      <c r="CD33" s="120"/>
      <c r="CE33" s="120"/>
      <c r="CF33" s="120"/>
      <c r="CG33" s="120"/>
      <c r="CH33" s="120"/>
      <c r="CI33" s="120"/>
      <c r="CJ33" s="120"/>
      <c r="CK33" s="179">
        <f t="shared" si="1"/>
        <v>32</v>
      </c>
      <c r="CL33" s="37" t="str">
        <f t="shared" ca="1" si="2"/>
        <v>Guttersnipe</v>
      </c>
      <c r="CM33" s="36">
        <f t="shared" si="16"/>
        <v>32</v>
      </c>
      <c r="CN33" s="37" t="str">
        <f ca="1">IF($AN33&gt;CN$1,"",INDEX($AG$2:$AG$226,SMALL(CM$2:$CM$226,$AN33),1))</f>
        <v>Head of House</v>
      </c>
      <c r="CO33" s="36">
        <f t="shared" si="17"/>
        <v>32</v>
      </c>
      <c r="CP33" s="37" t="str">
        <f t="shared" ca="1" si="18"/>
        <v>Guttersnipe</v>
      </c>
      <c r="CS33" s="28">
        <f t="shared" si="3"/>
        <v>32</v>
      </c>
      <c r="CT33" s="37" t="str">
        <f t="shared" ca="1" si="4"/>
        <v>Head of House</v>
      </c>
      <c r="CU33" s="28">
        <f t="shared" si="3"/>
        <v>32</v>
      </c>
      <c r="CV33" s="37" t="str">
        <f t="shared" ca="1" si="5"/>
        <v>Head of House</v>
      </c>
      <c r="CW33" s="28">
        <f t="shared" si="6"/>
        <v>32</v>
      </c>
      <c r="CX33" s="37" t="str">
        <f t="shared" ca="1" si="7"/>
        <v>Head of House</v>
      </c>
      <c r="CY33" s="28">
        <f t="shared" si="8"/>
        <v>32</v>
      </c>
      <c r="CZ33" s="37" t="str">
        <f t="shared" ca="1" si="7"/>
        <v>Head of House</v>
      </c>
      <c r="DA33" s="28">
        <f t="shared" si="9"/>
        <v>32</v>
      </c>
      <c r="DB33" s="37" t="str">
        <f t="shared" ca="1" si="10"/>
        <v>Head of House</v>
      </c>
      <c r="DC33" s="28">
        <f t="shared" si="11"/>
        <v>32</v>
      </c>
      <c r="DD33" s="37" t="str">
        <f t="shared" ca="1" si="12"/>
        <v>Head of House</v>
      </c>
      <c r="DN33" s="32">
        <v>32</v>
      </c>
      <c r="DO33" s="34" t="s">
        <v>646</v>
      </c>
      <c r="DP33" s="38">
        <f t="shared" si="28"/>
        <v>0</v>
      </c>
      <c r="DQ33" s="173" t="str">
        <f t="shared" si="19"/>
        <v>(Anim) 0</v>
      </c>
      <c r="DR33" s="36" t="str">
        <f t="shared" si="20"/>
        <v/>
      </c>
      <c r="DS33" s="37" t="str">
        <f t="shared" si="21"/>
        <v>(Figh) Pole-Arms</v>
      </c>
      <c r="DT33" s="235">
        <f>CharGen!AD7</f>
        <v>0</v>
      </c>
      <c r="DU33" s="236">
        <f>IF(DT33=0,0,CharGen!AC7)</f>
        <v>0</v>
      </c>
      <c r="DV33" s="154">
        <f t="shared" si="14"/>
        <v>0</v>
      </c>
      <c r="DW33" s="243">
        <f>IF(COUNTIF('Char Sheet p1'!$AP$7:$AP$35,DQ33)=0,0,ROUNDDOWN(SUMIF('Char Sheet p1'!$AP$7:$AP$35,DQ33,'Char Sheet p1'!$AQ$7:$AQ$35)/10,0))</f>
        <v>0</v>
      </c>
      <c r="DX33" s="240">
        <f t="shared" si="22"/>
        <v>0</v>
      </c>
      <c r="DY33" s="36">
        <f t="shared" ref="DY33:DY53" si="30">DY32+1</f>
        <v>6</v>
      </c>
      <c r="DZ33" s="36" t="str">
        <f t="shared" si="15"/>
        <v/>
      </c>
      <c r="EA33" s="36">
        <v>2</v>
      </c>
      <c r="EB33" s="78">
        <f>COUNT(DZ262:DZ287)</f>
        <v>0</v>
      </c>
      <c r="EC33" s="32" t="str">
        <f>IF(EA33&gt;$EB$33,"",INDEX($DP$262:$DP$287,SMALL($DZ$262:$DZ$287,EA33),1))</f>
        <v/>
      </c>
      <c r="ED33" s="39" t="str">
        <f t="shared" si="23"/>
        <v/>
      </c>
      <c r="EE33" s="36">
        <f t="shared" si="29"/>
        <v>3</v>
      </c>
    </row>
    <row r="34" spans="1:135">
      <c r="A34" s="37" t="s">
        <v>745</v>
      </c>
      <c r="B34" s="102">
        <f>6</f>
        <v>6</v>
      </c>
      <c r="C34" s="31">
        <v>-3</v>
      </c>
      <c r="D34" s="39">
        <v>2</v>
      </c>
      <c r="F34" s="29" t="s">
        <v>447</v>
      </c>
      <c r="G34" s="101">
        <v>-1</v>
      </c>
      <c r="H34" s="22"/>
      <c r="I34" s="45"/>
      <c r="J34" s="45" t="s">
        <v>447</v>
      </c>
      <c r="K34" s="60"/>
      <c r="L34" s="60"/>
      <c r="X34" s="16"/>
      <c r="Y34" s="16"/>
      <c r="Z34" s="16"/>
      <c r="AA34" s="16"/>
      <c r="AB34" s="16"/>
      <c r="AC34" s="16"/>
      <c r="AD34" s="16"/>
      <c r="AG34" s="32" t="s">
        <v>342</v>
      </c>
      <c r="AH34" s="34" t="s">
        <v>789</v>
      </c>
      <c r="AI34" s="34"/>
      <c r="AJ34" s="31"/>
      <c r="AK34" s="31">
        <f>COUNTIF(qualities,AG34)</f>
        <v>0</v>
      </c>
      <c r="AL34" s="31" t="str">
        <f t="shared" ref="AL34:AL65" si="31">IF(AH34="Heritage",COUNTIF(qualities,AG34),"")</f>
        <v/>
      </c>
      <c r="AM34" s="31">
        <f>N(birthright=0)</f>
        <v>1</v>
      </c>
      <c r="AN34" s="31">
        <f t="shared" si="24"/>
        <v>33</v>
      </c>
      <c r="AO34" s="35" t="s">
        <v>26</v>
      </c>
      <c r="AP34" s="134"/>
      <c r="AQ34" s="47"/>
      <c r="AR34" s="134"/>
      <c r="AS34" s="47"/>
      <c r="AT34" s="134"/>
      <c r="AU34" s="47"/>
      <c r="AV34" s="134"/>
      <c r="AW34" s="47"/>
      <c r="AX34" s="134"/>
      <c r="AY34" s="47"/>
      <c r="AZ34" s="134"/>
      <c r="BA34" s="47"/>
      <c r="BB34" s="134"/>
      <c r="BC34" s="47"/>
      <c r="BD34" s="134"/>
      <c r="BE34" s="47"/>
      <c r="BF34" s="134"/>
      <c r="BG34" s="47"/>
      <c r="BH34" s="134"/>
      <c r="BI34" s="47"/>
      <c r="BJ34" s="134"/>
      <c r="BK34" s="47"/>
      <c r="BL34" s="134"/>
      <c r="BM34" s="47"/>
      <c r="BN34" s="134"/>
      <c r="BO34" s="47">
        <f ca="1">SUMIF(staspec,"Stewardship",staspecval)</f>
        <v>0</v>
      </c>
      <c r="BP34" s="134">
        <f>2-status</f>
        <v>1</v>
      </c>
      <c r="BQ34" s="47"/>
      <c r="BR34" s="134"/>
      <c r="BS34" s="47"/>
      <c r="BT34" s="134"/>
      <c r="BU34" s="47"/>
      <c r="BV34" s="134"/>
      <c r="BW34" s="47"/>
      <c r="BX34" s="134"/>
      <c r="BY34" s="47"/>
      <c r="BZ34" s="134"/>
      <c r="CA34" s="47"/>
      <c r="CB34" s="120"/>
      <c r="CC34" s="120">
        <f>BP34</f>
        <v>1</v>
      </c>
      <c r="CD34" s="120"/>
      <c r="CE34" s="120"/>
      <c r="CF34" s="120"/>
      <c r="CG34" s="120"/>
      <c r="CH34" s="120"/>
      <c r="CI34" s="120"/>
      <c r="CJ34" s="120"/>
      <c r="CK34" s="179">
        <f t="shared" si="1"/>
        <v>33</v>
      </c>
      <c r="CL34" s="37" t="str">
        <f t="shared" ref="CL34:CL65" ca="1" si="32">IF(AN34&gt;$CL$1,"",INDEX($AG$2:$AG$226,SMALL($CK$2:$CK$226,AN34),1))</f>
        <v>Head of House</v>
      </c>
      <c r="CM34" s="36">
        <f t="shared" si="16"/>
        <v>33</v>
      </c>
      <c r="CN34" s="37" t="str">
        <f ca="1">IF($AN34&gt;CN$1,"",INDEX($AG$2:$AG$226,SMALL(CM$2:$CM$226,$AN34),1))</f>
        <v>Heir</v>
      </c>
      <c r="CO34" s="36">
        <f t="shared" si="17"/>
        <v>33</v>
      </c>
      <c r="CP34" s="37" t="str">
        <f t="shared" ca="1" si="18"/>
        <v>Head of House</v>
      </c>
      <c r="CS34" s="28">
        <f t="shared" si="3"/>
        <v>33</v>
      </c>
      <c r="CT34" s="37" t="str">
        <f t="shared" ref="CT34:CT65" ca="1" si="33">IF($AN34&gt;CT$1,"",INDEX($AG$2:$AG$226,SMALL(CS$2:CS$226,$AN34),1))</f>
        <v>Heir</v>
      </c>
      <c r="CU34" s="28">
        <f t="shared" si="3"/>
        <v>33</v>
      </c>
      <c r="CV34" s="37" t="str">
        <f t="shared" ref="CV34:CV65" ca="1" si="34">IF($AN34&gt;CV$1,"",INDEX($AG$2:$AG$226,SMALL(CU$2:CU$226,$AN34),1))</f>
        <v>Heir</v>
      </c>
      <c r="CW34" s="28">
        <f t="shared" si="6"/>
        <v>33</v>
      </c>
      <c r="CX34" s="37" t="str">
        <f t="shared" ref="CX34:CZ65" ca="1" si="35">IF($AN34&gt;CX$1,"",INDEX($AG$2:$AG$226,SMALL(CW$2:CW$226,$AN34),1))</f>
        <v>Heir</v>
      </c>
      <c r="CY34" s="28">
        <f t="shared" si="8"/>
        <v>33</v>
      </c>
      <c r="CZ34" s="37" t="str">
        <f t="shared" ca="1" si="35"/>
        <v>Heir</v>
      </c>
      <c r="DA34" s="28">
        <f t="shared" si="9"/>
        <v>33</v>
      </c>
      <c r="DB34" s="37" t="str">
        <f t="shared" ref="DB34:DB65" ca="1" si="36">IF($AN34&gt;DB$1,"",INDEX($AG$2:$AG$226,SMALL(DA$2:DA$226,$AN34),1))</f>
        <v>Heir</v>
      </c>
      <c r="DC34" s="28">
        <f t="shared" si="11"/>
        <v>33</v>
      </c>
      <c r="DD34" s="37" t="str">
        <f t="shared" ref="DD34:DD65" ca="1" si="37">IF($AN34&gt;DD$1,"",INDEX($AG$2:$AG$226,SMALL(DC$2:DC$226,$AN34),1))</f>
        <v>Heir</v>
      </c>
      <c r="DN34" s="32">
        <v>33</v>
      </c>
      <c r="DO34" s="34" t="s">
        <v>646</v>
      </c>
      <c r="DP34" s="38">
        <f t="shared" si="28"/>
        <v>0</v>
      </c>
      <c r="DQ34" s="173" t="str">
        <f t="shared" si="19"/>
        <v>(Anim) 0</v>
      </c>
      <c r="DR34" s="36" t="str">
        <f t="shared" si="20"/>
        <v/>
      </c>
      <c r="DS34" s="37" t="str">
        <f t="shared" si="21"/>
        <v>(Figh) Shields</v>
      </c>
      <c r="DT34" s="235">
        <f>CharGen!AD8</f>
        <v>0</v>
      </c>
      <c r="DU34" s="236">
        <f>IF(DT34=0,0,CharGen!AC8)</f>
        <v>0</v>
      </c>
      <c r="DV34" s="154">
        <f t="shared" si="14"/>
        <v>0</v>
      </c>
      <c r="DW34" s="243">
        <f>IF(COUNTIF('Char Sheet p1'!$AP$7:$AP$35,DQ34)=0,0,ROUNDDOWN(SUMIF('Char Sheet p1'!$AP$7:$AP$35,DQ34,'Char Sheet p1'!$AQ$7:$AQ$35)/10,0))</f>
        <v>0</v>
      </c>
      <c r="DX34" s="240">
        <f t="shared" si="22"/>
        <v>0</v>
      </c>
      <c r="DY34" s="36">
        <f t="shared" si="30"/>
        <v>7</v>
      </c>
      <c r="DZ34" s="36" t="str">
        <f t="shared" si="15"/>
        <v/>
      </c>
      <c r="EA34" s="55">
        <v>3</v>
      </c>
      <c r="EC34" s="41" t="str">
        <f>IF(EA34&gt;$EB$33,"",INDEX($DP$262:$DP$287,SMALL($DZ$262:$DZ$287,EA34),1))</f>
        <v/>
      </c>
      <c r="ED34" s="43" t="str">
        <f t="shared" si="23"/>
        <v/>
      </c>
      <c r="EE34" s="36">
        <f t="shared" si="29"/>
        <v>3</v>
      </c>
    </row>
    <row r="35" spans="1:135" ht="11.25">
      <c r="A35" s="37" t="s">
        <v>746</v>
      </c>
      <c r="B35" s="102">
        <f>7</f>
        <v>7</v>
      </c>
      <c r="C35" s="31">
        <v>-3</v>
      </c>
      <c r="D35" s="39">
        <v>3</v>
      </c>
      <c r="F35" s="37" t="s">
        <v>448</v>
      </c>
      <c r="G35" s="102"/>
      <c r="H35" s="31"/>
      <c r="I35" s="39"/>
      <c r="J35" s="39" t="s">
        <v>448</v>
      </c>
      <c r="K35" s="60"/>
      <c r="L35" s="60"/>
      <c r="X35" s="16"/>
      <c r="Y35" s="16"/>
      <c r="Z35" s="16"/>
      <c r="AA35" s="16"/>
      <c r="AB35" s="16"/>
      <c r="AC35" s="16"/>
      <c r="AD35" s="16"/>
      <c r="AG35" s="32" t="s">
        <v>775</v>
      </c>
      <c r="AH35" s="34" t="s">
        <v>789</v>
      </c>
      <c r="AI35" s="34" t="s">
        <v>816</v>
      </c>
      <c r="AJ35" s="31"/>
      <c r="AK35" s="31"/>
      <c r="AL35" s="31" t="str">
        <f t="shared" si="31"/>
        <v/>
      </c>
      <c r="AM35" s="31">
        <f>N(persuasion&gt;4)</f>
        <v>0</v>
      </c>
      <c r="AN35" s="31">
        <f t="shared" si="24"/>
        <v>34</v>
      </c>
      <c r="AO35" s="35" t="s">
        <v>27</v>
      </c>
      <c r="AP35" s="134"/>
      <c r="AQ35" s="47"/>
      <c r="AR35" s="134"/>
      <c r="AS35" s="47"/>
      <c r="AT35" s="134"/>
      <c r="AU35" s="47"/>
      <c r="AV35" s="134"/>
      <c r="AW35" s="47"/>
      <c r="AX35" s="134"/>
      <c r="AY35" s="47"/>
      <c r="AZ35" s="134"/>
      <c r="BA35" s="47"/>
      <c r="BB35" s="134"/>
      <c r="BC35" s="47"/>
      <c r="BD35" s="134"/>
      <c r="BE35" s="47"/>
      <c r="BF35" s="134"/>
      <c r="BG35" s="47"/>
      <c r="BH35" s="134"/>
      <c r="BI35" s="47"/>
      <c r="BJ35" s="134"/>
      <c r="BK35" s="47"/>
      <c r="BL35" s="134"/>
      <c r="BM35" s="47"/>
      <c r="BN35" s="134"/>
      <c r="BO35" s="47"/>
      <c r="BP35" s="134"/>
      <c r="BQ35" s="47"/>
      <c r="BR35" s="134"/>
      <c r="BS35" s="47"/>
      <c r="BT35" s="134"/>
      <c r="BU35" s="47"/>
      <c r="BV35" s="134"/>
      <c r="BW35" s="47"/>
      <c r="BX35" s="134"/>
      <c r="BY35" s="47"/>
      <c r="BZ35" s="134"/>
      <c r="CA35" s="47"/>
      <c r="CB35" s="120"/>
      <c r="CC35" s="120"/>
      <c r="CD35" s="120"/>
      <c r="CE35" s="120"/>
      <c r="CF35" s="120"/>
      <c r="CG35" s="120"/>
      <c r="CH35" s="120"/>
      <c r="CI35" s="120"/>
      <c r="CJ35" s="120"/>
      <c r="CK35" s="179" t="str">
        <f t="shared" si="1"/>
        <v/>
      </c>
      <c r="CL35" s="37" t="str">
        <f t="shared" ca="1" si="32"/>
        <v>Heir</v>
      </c>
      <c r="CM35" s="36" t="str">
        <f t="shared" si="16"/>
        <v/>
      </c>
      <c r="CN35" s="37" t="str">
        <f ca="1">IF($AN35&gt;CN$1,"",INDEX($AG$2:$AG$226,SMALL(CM$2:$CM$226,$AN35),1))</f>
        <v>Lucky</v>
      </c>
      <c r="CO35" s="36" t="str">
        <f t="shared" si="17"/>
        <v/>
      </c>
      <c r="CP35" s="37" t="str">
        <f t="shared" ca="1" si="18"/>
        <v>Heir</v>
      </c>
      <c r="CS35" s="28" t="str">
        <f t="shared" si="3"/>
        <v/>
      </c>
      <c r="CT35" s="37" t="str">
        <f t="shared" ca="1" si="33"/>
        <v>Lucky</v>
      </c>
      <c r="CU35" s="28" t="str">
        <f t="shared" si="3"/>
        <v/>
      </c>
      <c r="CV35" s="37" t="str">
        <f t="shared" ca="1" si="34"/>
        <v>Lucky</v>
      </c>
      <c r="CW35" s="28" t="str">
        <f t="shared" si="6"/>
        <v/>
      </c>
      <c r="CX35" s="37" t="str">
        <f t="shared" ca="1" si="35"/>
        <v>Lucky</v>
      </c>
      <c r="CY35" s="28" t="str">
        <f t="shared" si="8"/>
        <v/>
      </c>
      <c r="CZ35" s="37" t="str">
        <f t="shared" ca="1" si="35"/>
        <v>Lucky</v>
      </c>
      <c r="DA35" s="28" t="str">
        <f t="shared" si="9"/>
        <v/>
      </c>
      <c r="DB35" s="37" t="str">
        <f t="shared" ca="1" si="36"/>
        <v>Lucky</v>
      </c>
      <c r="DC35" s="28" t="str">
        <f t="shared" si="11"/>
        <v/>
      </c>
      <c r="DD35" s="37" t="str">
        <f t="shared" ca="1" si="37"/>
        <v>Lucky</v>
      </c>
      <c r="DN35" s="32">
        <v>34</v>
      </c>
      <c r="DO35" s="34" t="s">
        <v>646</v>
      </c>
      <c r="DP35" s="38">
        <f t="shared" si="28"/>
        <v>0</v>
      </c>
      <c r="DQ35" s="173" t="str">
        <f t="shared" si="19"/>
        <v>(Anim) 0</v>
      </c>
      <c r="DR35" s="36" t="str">
        <f t="shared" si="20"/>
        <v/>
      </c>
      <c r="DS35" s="37" t="str">
        <f t="shared" si="21"/>
        <v>(Figh) Short Blades</v>
      </c>
      <c r="DT35" s="235">
        <f>CharGen!AD9</f>
        <v>0</v>
      </c>
      <c r="DU35" s="236">
        <f>IF(DT35=0,0,CharGen!AC9)</f>
        <v>0</v>
      </c>
      <c r="DV35" s="154">
        <f t="shared" si="14"/>
        <v>0</v>
      </c>
      <c r="DW35" s="243">
        <f>IF(COUNTIF('Char Sheet p1'!$AP$7:$AP$35,DQ35)=0,0,ROUNDDOWN(SUMIF('Char Sheet p1'!$AP$7:$AP$35,DQ35,'Char Sheet p1'!$AQ$7:$AQ$35)/10,0))</f>
        <v>0</v>
      </c>
      <c r="DX35" s="240">
        <f t="shared" si="22"/>
        <v>0</v>
      </c>
      <c r="DY35" s="36">
        <f t="shared" si="30"/>
        <v>8</v>
      </c>
      <c r="DZ35" s="36" t="str">
        <f t="shared" si="15"/>
        <v/>
      </c>
      <c r="EA35" s="245">
        <v>1</v>
      </c>
      <c r="EB35" s="75" t="str">
        <f>DO288</f>
        <v>Persuasion</v>
      </c>
      <c r="EC35" s="246" t="str">
        <f>IF(EA35&gt;$EB$36,"",INDEX($DP$288:$DP$313,SMALL($DZ$288:$DZ$313,EA35),1))</f>
        <v/>
      </c>
      <c r="ED35" s="247" t="str">
        <f t="shared" si="23"/>
        <v/>
      </c>
      <c r="EE35" s="36">
        <f t="shared" si="29"/>
        <v>3</v>
      </c>
    </row>
    <row r="36" spans="1:135" ht="11.25">
      <c r="A36" s="37" t="s">
        <v>747</v>
      </c>
      <c r="B36" s="102">
        <f>8</f>
        <v>8</v>
      </c>
      <c r="C36" s="31">
        <v>-4</v>
      </c>
      <c r="D36" s="39">
        <v>3</v>
      </c>
      <c r="F36" s="37" t="s">
        <v>449</v>
      </c>
      <c r="G36" s="102"/>
      <c r="H36" s="31">
        <v>1</v>
      </c>
      <c r="I36" s="39"/>
      <c r="J36" s="39" t="s">
        <v>449</v>
      </c>
      <c r="K36" s="60"/>
      <c r="L36" s="60"/>
      <c r="X36" s="16"/>
      <c r="Y36" s="16"/>
      <c r="Z36" s="16"/>
      <c r="AA36" s="16"/>
      <c r="AB36" s="16"/>
      <c r="AC36" s="16"/>
      <c r="AD36" s="16"/>
      <c r="AG36" s="32" t="s">
        <v>867</v>
      </c>
      <c r="AH36" s="34" t="s">
        <v>881</v>
      </c>
      <c r="AI36" s="34" t="s">
        <v>941</v>
      </c>
      <c r="AJ36" s="31"/>
      <c r="AK36" s="31"/>
      <c r="AL36" s="31" t="str">
        <f t="shared" si="31"/>
        <v/>
      </c>
      <c r="AM36" s="31">
        <f ca="1">N(AND(awareness&gt;3,SUMIF(awaspec,"Empathy",awaspecval)&gt;1))</f>
        <v>0</v>
      </c>
      <c r="AN36" s="31">
        <f t="shared" si="24"/>
        <v>35</v>
      </c>
      <c r="AO36" s="35" t="s">
        <v>964</v>
      </c>
      <c r="AP36" s="134"/>
      <c r="AQ36" s="47"/>
      <c r="AR36" s="134"/>
      <c r="AS36" s="47"/>
      <c r="AT36" s="134"/>
      <c r="AU36" s="47"/>
      <c r="AV36" s="134"/>
      <c r="AW36" s="47"/>
      <c r="AX36" s="134"/>
      <c r="AY36" s="47"/>
      <c r="AZ36" s="134"/>
      <c r="BA36" s="47"/>
      <c r="BB36" s="134"/>
      <c r="BC36" s="47"/>
      <c r="BD36" s="134"/>
      <c r="BE36" s="47"/>
      <c r="BF36" s="134"/>
      <c r="BG36" s="47"/>
      <c r="BH36" s="134"/>
      <c r="BI36" s="47"/>
      <c r="BJ36" s="134"/>
      <c r="BK36" s="47"/>
      <c r="BL36" s="134"/>
      <c r="BM36" s="47"/>
      <c r="BN36" s="134"/>
      <c r="BO36" s="47"/>
      <c r="BP36" s="134"/>
      <c r="BQ36" s="47"/>
      <c r="BR36" s="134"/>
      <c r="BS36" s="47"/>
      <c r="BT36" s="134"/>
      <c r="BU36" s="47"/>
      <c r="BV36" s="134"/>
      <c r="BW36" s="47"/>
      <c r="BX36" s="134"/>
      <c r="BY36" s="47"/>
      <c r="BZ36" s="134"/>
      <c r="CA36" s="47"/>
      <c r="CB36" s="120"/>
      <c r="CC36" s="120"/>
      <c r="CD36" s="120"/>
      <c r="CE36" s="120"/>
      <c r="CF36" s="120"/>
      <c r="CG36" s="120"/>
      <c r="CH36" s="120"/>
      <c r="CI36" s="120"/>
      <c r="CJ36" s="120"/>
      <c r="CK36" s="179" t="str">
        <f t="shared" ca="1" si="1"/>
        <v/>
      </c>
      <c r="CL36" s="37" t="str">
        <f t="shared" ca="1" si="32"/>
        <v>Lucky</v>
      </c>
      <c r="CM36" s="36" t="str">
        <f t="shared" ca="1" si="16"/>
        <v/>
      </c>
      <c r="CN36" s="37" t="str">
        <f ca="1">IF($AN36&gt;CN$1,"",INDEX($AG$2:$AG$226,SMALL(CM$2:$CM$226,$AN36),1))</f>
        <v>Master of Ravens</v>
      </c>
      <c r="CO36" s="36" t="str">
        <f t="shared" ca="1" si="17"/>
        <v/>
      </c>
      <c r="CP36" s="37" t="str">
        <f t="shared" ca="1" si="18"/>
        <v>Lucky</v>
      </c>
      <c r="CS36" s="28" t="str">
        <f t="shared" ca="1" si="3"/>
        <v/>
      </c>
      <c r="CT36" s="37" t="str">
        <f t="shared" ca="1" si="33"/>
        <v>Master of Ravens</v>
      </c>
      <c r="CU36" s="28" t="str">
        <f t="shared" ca="1" si="3"/>
        <v/>
      </c>
      <c r="CV36" s="37" t="str">
        <f t="shared" ca="1" si="34"/>
        <v>Master of Ravens</v>
      </c>
      <c r="CW36" s="28" t="str">
        <f t="shared" ca="1" si="6"/>
        <v/>
      </c>
      <c r="CX36" s="37" t="str">
        <f t="shared" ca="1" si="35"/>
        <v>Master of Ravens</v>
      </c>
      <c r="CY36" s="28" t="str">
        <f t="shared" ca="1" si="8"/>
        <v/>
      </c>
      <c r="CZ36" s="37" t="str">
        <f t="shared" ca="1" si="35"/>
        <v>Master of Ravens</v>
      </c>
      <c r="DA36" s="28" t="str">
        <f t="shared" ca="1" si="9"/>
        <v/>
      </c>
      <c r="DB36" s="37" t="str">
        <f t="shared" ca="1" si="36"/>
        <v>Master of Ravens</v>
      </c>
      <c r="DC36" s="28" t="str">
        <f t="shared" ca="1" si="11"/>
        <v/>
      </c>
      <c r="DD36" s="37" t="str">
        <f t="shared" ca="1" si="37"/>
        <v>Master of Ravens</v>
      </c>
      <c r="DN36" s="32">
        <v>35</v>
      </c>
      <c r="DO36" s="34" t="s">
        <v>646</v>
      </c>
      <c r="DP36" s="38">
        <f t="shared" si="28"/>
        <v>0</v>
      </c>
      <c r="DQ36" s="173" t="str">
        <f t="shared" si="19"/>
        <v>(Anim) 0</v>
      </c>
      <c r="DR36" s="36" t="str">
        <f t="shared" si="20"/>
        <v/>
      </c>
      <c r="DS36" s="37" t="str">
        <f t="shared" si="21"/>
        <v>(Figh) Spears</v>
      </c>
      <c r="DT36" s="235">
        <f>CharGen!AD10</f>
        <v>0</v>
      </c>
      <c r="DU36" s="236">
        <f>IF(DT36=0,0,CharGen!AC10)</f>
        <v>0</v>
      </c>
      <c r="DV36" s="154">
        <f t="shared" si="14"/>
        <v>0</v>
      </c>
      <c r="DW36" s="243">
        <f>IF(COUNTIF('Char Sheet p1'!$AP$7:$AP$35,DQ36)=0,0,ROUNDDOWN(SUMIF('Char Sheet p1'!$AP$7:$AP$35,DQ36,'Char Sheet p1'!$AQ$7:$AQ$35)/10,0))</f>
        <v>0</v>
      </c>
      <c r="DX36" s="240">
        <f t="shared" si="22"/>
        <v>0</v>
      </c>
      <c r="DY36" s="36">
        <f t="shared" si="30"/>
        <v>9</v>
      </c>
      <c r="DZ36" s="36" t="str">
        <f t="shared" si="15"/>
        <v/>
      </c>
      <c r="EA36" s="36">
        <v>2</v>
      </c>
      <c r="EB36" s="78">
        <f>COUNT(DZ288:DZ313)</f>
        <v>0</v>
      </c>
      <c r="EC36" s="32" t="str">
        <f>IF(EA36&gt;$EB$36,"",INDEX($DP$288:$DP$313,SMALL($DZ$288:$DZ$313,EA36),1))</f>
        <v/>
      </c>
      <c r="ED36" s="39" t="str">
        <f t="shared" si="23"/>
        <v/>
      </c>
      <c r="EE36" s="36">
        <f t="shared" si="29"/>
        <v>3</v>
      </c>
    </row>
    <row r="37" spans="1:135">
      <c r="A37" s="37" t="s">
        <v>748</v>
      </c>
      <c r="B37" s="102">
        <f>9</f>
        <v>9</v>
      </c>
      <c r="C37" s="31">
        <v>-5</v>
      </c>
      <c r="D37" s="39">
        <v>3</v>
      </c>
      <c r="F37" s="49" t="s">
        <v>781</v>
      </c>
      <c r="G37" s="103"/>
      <c r="H37" s="40">
        <v>1</v>
      </c>
      <c r="I37" s="43">
        <v>1</v>
      </c>
      <c r="J37" s="183" t="str">
        <f>IF(COUNTIF(qualities,F37)-COUNTIF('Char Sheet p1'!I52:M58,F37)&gt;0,F37,"")</f>
        <v/>
      </c>
      <c r="K37" s="60"/>
      <c r="L37" s="60"/>
      <c r="X37" s="16"/>
      <c r="Y37" s="16"/>
      <c r="Z37" s="16"/>
      <c r="AA37" s="16"/>
      <c r="AB37" s="16"/>
      <c r="AC37" s="16"/>
      <c r="AD37" s="16"/>
      <c r="AG37" s="32" t="s">
        <v>28</v>
      </c>
      <c r="AH37" s="34" t="s">
        <v>881</v>
      </c>
      <c r="AI37" s="34" t="s">
        <v>942</v>
      </c>
      <c r="AJ37" s="31"/>
      <c r="AK37" s="31"/>
      <c r="AL37" s="31" t="str">
        <f t="shared" si="31"/>
        <v/>
      </c>
      <c r="AM37" s="31">
        <f t="shared" ref="AM37:AM43" si="38">N(persuasion&gt;2)</f>
        <v>0</v>
      </c>
      <c r="AN37" s="31">
        <f t="shared" si="24"/>
        <v>36</v>
      </c>
      <c r="AO37" s="35" t="s">
        <v>35</v>
      </c>
      <c r="AP37" s="134"/>
      <c r="AQ37" s="47"/>
      <c r="AR37" s="134"/>
      <c r="AS37" s="47"/>
      <c r="AT37" s="134"/>
      <c r="AU37" s="47"/>
      <c r="AV37" s="134"/>
      <c r="AW37" s="47"/>
      <c r="AX37" s="134"/>
      <c r="AY37" s="47"/>
      <c r="AZ37" s="134"/>
      <c r="BA37" s="47"/>
      <c r="BB37" s="134"/>
      <c r="BC37" s="47"/>
      <c r="BD37" s="134"/>
      <c r="BE37" s="47"/>
      <c r="BF37" s="134"/>
      <c r="BG37" s="47"/>
      <c r="BH37" s="134"/>
      <c r="BI37" s="47"/>
      <c r="BJ37" s="134"/>
      <c r="BK37" s="47"/>
      <c r="BL37" s="134"/>
      <c r="BM37" s="47"/>
      <c r="BN37" s="134"/>
      <c r="BO37" s="47"/>
      <c r="BP37" s="134"/>
      <c r="BQ37" s="47"/>
      <c r="BR37" s="134"/>
      <c r="BS37" s="47"/>
      <c r="BT37" s="134"/>
      <c r="BU37" s="47"/>
      <c r="BV37" s="134"/>
      <c r="BW37" s="47"/>
      <c r="BX37" s="134"/>
      <c r="BY37" s="47"/>
      <c r="BZ37" s="134"/>
      <c r="CA37" s="47"/>
      <c r="CB37" s="120"/>
      <c r="CC37" s="120"/>
      <c r="CD37" s="120"/>
      <c r="CE37" s="120"/>
      <c r="CF37" s="120"/>
      <c r="CG37" s="120"/>
      <c r="CH37" s="120"/>
      <c r="CI37" s="120"/>
      <c r="CJ37" s="120"/>
      <c r="CK37" s="179" t="str">
        <f t="shared" si="1"/>
        <v/>
      </c>
      <c r="CL37" s="37" t="str">
        <f t="shared" ca="1" si="32"/>
        <v>Master of Ravens</v>
      </c>
      <c r="CM37" s="36" t="str">
        <f t="shared" si="16"/>
        <v/>
      </c>
      <c r="CN37" s="37" t="str">
        <f ca="1">IF($AN37&gt;CN$1,"",INDEX($AG$2:$AG$226,SMALL(CM$2:$CM$226,$AN37),1))</f>
        <v>Night Eyes</v>
      </c>
      <c r="CO37" s="36" t="str">
        <f t="shared" si="17"/>
        <v/>
      </c>
      <c r="CP37" s="37" t="str">
        <f t="shared" ca="1" si="18"/>
        <v>Master of Ravens</v>
      </c>
      <c r="CS37" s="28" t="str">
        <f t="shared" si="3"/>
        <v/>
      </c>
      <c r="CT37" s="37" t="str">
        <f t="shared" ca="1" si="33"/>
        <v>Sinister</v>
      </c>
      <c r="CU37" s="28" t="str">
        <f t="shared" si="3"/>
        <v/>
      </c>
      <c r="CV37" s="37" t="str">
        <f t="shared" ca="1" si="34"/>
        <v>Sinister</v>
      </c>
      <c r="CW37" s="28" t="str">
        <f t="shared" si="6"/>
        <v/>
      </c>
      <c r="CX37" s="37" t="str">
        <f t="shared" ca="1" si="35"/>
        <v>Sinister</v>
      </c>
      <c r="CY37" s="28" t="str">
        <f t="shared" si="8"/>
        <v/>
      </c>
      <c r="CZ37" s="37" t="str">
        <f t="shared" ca="1" si="35"/>
        <v>Sinister</v>
      </c>
      <c r="DA37" s="28" t="str">
        <f t="shared" si="9"/>
        <v/>
      </c>
      <c r="DB37" s="37" t="str">
        <f t="shared" ca="1" si="36"/>
        <v>Sinister</v>
      </c>
      <c r="DC37" s="28" t="str">
        <f t="shared" si="11"/>
        <v/>
      </c>
      <c r="DD37" s="37" t="str">
        <f t="shared" ca="1" si="37"/>
        <v>Sinister</v>
      </c>
      <c r="DN37" s="32">
        <v>36</v>
      </c>
      <c r="DO37" s="34" t="s">
        <v>646</v>
      </c>
      <c r="DP37" s="38">
        <f t="shared" si="28"/>
        <v>0</v>
      </c>
      <c r="DQ37" s="173" t="str">
        <f t="shared" si="19"/>
        <v>(Anim) 0</v>
      </c>
      <c r="DR37" s="36" t="str">
        <f t="shared" si="20"/>
        <v/>
      </c>
      <c r="DS37" s="37" t="str">
        <f t="shared" si="21"/>
        <v>(Heal) Diagnosis</v>
      </c>
      <c r="DT37" s="235">
        <f>CharGen!AD11</f>
        <v>0</v>
      </c>
      <c r="DU37" s="236">
        <f>IF(DT37=0,0,CharGen!AC11)</f>
        <v>0</v>
      </c>
      <c r="DV37" s="154">
        <f t="shared" si="14"/>
        <v>0</v>
      </c>
      <c r="DW37" s="243">
        <f>IF(COUNTIF('Char Sheet p1'!$AP$7:$AP$35,DQ37)=0,0,ROUNDDOWN(SUMIF('Char Sheet p1'!$AP$7:$AP$35,DQ37,'Char Sheet p1'!$AQ$7:$AQ$35)/10,0))</f>
        <v>0</v>
      </c>
      <c r="DX37" s="240">
        <f t="shared" si="22"/>
        <v>0</v>
      </c>
      <c r="DY37" s="36">
        <f t="shared" si="30"/>
        <v>10</v>
      </c>
      <c r="DZ37" s="36" t="str">
        <f t="shared" si="15"/>
        <v/>
      </c>
      <c r="EA37" s="55">
        <v>3</v>
      </c>
      <c r="EC37" s="41" t="str">
        <f>IF(EA37&gt;$EB$36,"",INDEX($DP$288:$DP$313,SMALL($DZ$288:$DZ$313,EA37),1))</f>
        <v/>
      </c>
      <c r="ED37" s="43" t="str">
        <f t="shared" si="23"/>
        <v/>
      </c>
      <c r="EE37" s="36">
        <f t="shared" si="29"/>
        <v>3</v>
      </c>
    </row>
    <row r="38" spans="1:135" ht="11.25">
      <c r="A38" s="49" t="s">
        <v>749</v>
      </c>
      <c r="B38" s="103">
        <f>10</f>
        <v>10</v>
      </c>
      <c r="C38" s="40">
        <v>-6</v>
      </c>
      <c r="D38" s="43">
        <v>3</v>
      </c>
      <c r="J38" s="16" t="str">
        <f>"Tables!"&amp;ADDRESS(ROW(J34),COLUMN())&amp;":"&amp;ADDRESS(ROW(J37)-COUNTBLANK($J$34:$J$37),COLUMN())</f>
        <v>Tables!$J$34:$J$36</v>
      </c>
      <c r="X38" s="16"/>
      <c r="Y38" s="16"/>
      <c r="Z38" s="16"/>
      <c r="AA38" s="16"/>
      <c r="AB38" s="16"/>
      <c r="AC38" s="16"/>
      <c r="AD38" s="16"/>
      <c r="AE38" s="25"/>
      <c r="AG38" s="32" t="s">
        <v>29</v>
      </c>
      <c r="AH38" s="34" t="s">
        <v>789</v>
      </c>
      <c r="AI38" s="34" t="s">
        <v>942</v>
      </c>
      <c r="AJ38" s="31"/>
      <c r="AK38" s="31"/>
      <c r="AL38" s="31" t="str">
        <f t="shared" si="31"/>
        <v/>
      </c>
      <c r="AM38" s="31">
        <f t="shared" si="38"/>
        <v>0</v>
      </c>
      <c r="AN38" s="31">
        <f t="shared" si="24"/>
        <v>37</v>
      </c>
      <c r="AO38" s="35" t="s">
        <v>36</v>
      </c>
      <c r="AP38" s="134"/>
      <c r="AQ38" s="47"/>
      <c r="AR38" s="134"/>
      <c r="AS38" s="47"/>
      <c r="AT38" s="134"/>
      <c r="AU38" s="47"/>
      <c r="AV38" s="134"/>
      <c r="AW38" s="47"/>
      <c r="AX38" s="134"/>
      <c r="AY38" s="47"/>
      <c r="AZ38" s="134"/>
      <c r="BA38" s="47"/>
      <c r="BB38" s="134"/>
      <c r="BC38" s="47"/>
      <c r="BD38" s="134"/>
      <c r="BE38" s="47"/>
      <c r="BF38" s="134"/>
      <c r="BG38" s="47"/>
      <c r="BH38" s="134"/>
      <c r="BI38" s="47"/>
      <c r="BJ38" s="134"/>
      <c r="BK38" s="47"/>
      <c r="BL38" s="134"/>
      <c r="BM38" s="47"/>
      <c r="BN38" s="134"/>
      <c r="BO38" s="47"/>
      <c r="BP38" s="134"/>
      <c r="BQ38" s="47"/>
      <c r="BR38" s="134"/>
      <c r="BS38" s="47"/>
      <c r="BT38" s="134"/>
      <c r="BU38" s="47"/>
      <c r="BV38" s="134"/>
      <c r="BW38" s="47"/>
      <c r="BX38" s="134"/>
      <c r="BY38" s="47"/>
      <c r="BZ38" s="134"/>
      <c r="CA38" s="47"/>
      <c r="CB38" s="120"/>
      <c r="CC38" s="120"/>
      <c r="CD38" s="120"/>
      <c r="CE38" s="120"/>
      <c r="CF38" s="120"/>
      <c r="CG38" s="120"/>
      <c r="CH38" s="120"/>
      <c r="CI38" s="120"/>
      <c r="CJ38" s="120"/>
      <c r="CK38" s="179" t="str">
        <f t="shared" si="1"/>
        <v/>
      </c>
      <c r="CL38" s="37" t="str">
        <f t="shared" ca="1" si="32"/>
        <v>Sinister</v>
      </c>
      <c r="CM38" s="36" t="str">
        <f t="shared" si="16"/>
        <v/>
      </c>
      <c r="CN38" s="37" t="str">
        <f ca="1">IF($AN38&gt;CN$1,"",INDEX($AG$2:$AG$226,SMALL(CM$2:$CM$226,$AN38),1))</f>
        <v>Sinister</v>
      </c>
      <c r="CO38" s="36" t="str">
        <f t="shared" si="17"/>
        <v/>
      </c>
      <c r="CP38" s="37" t="str">
        <f t="shared" ca="1" si="18"/>
        <v>Sinister</v>
      </c>
      <c r="CS38" s="28" t="str">
        <f t="shared" si="3"/>
        <v/>
      </c>
      <c r="CT38" s="37" t="str">
        <f t="shared" ca="1" si="33"/>
        <v>Spear Fighter I</v>
      </c>
      <c r="CU38" s="28" t="str">
        <f t="shared" si="3"/>
        <v/>
      </c>
      <c r="CV38" s="37" t="str">
        <f t="shared" ca="1" si="34"/>
        <v>Spear Fighter I</v>
      </c>
      <c r="CW38" s="28" t="str">
        <f t="shared" si="6"/>
        <v/>
      </c>
      <c r="CX38" s="37" t="str">
        <f t="shared" ca="1" si="35"/>
        <v>Spear Fighter I</v>
      </c>
      <c r="CY38" s="28" t="str">
        <f t="shared" si="8"/>
        <v/>
      </c>
      <c r="CZ38" s="37" t="str">
        <f t="shared" ca="1" si="35"/>
        <v>Spear Fighter I</v>
      </c>
      <c r="DA38" s="28" t="str">
        <f t="shared" si="9"/>
        <v/>
      </c>
      <c r="DB38" s="37" t="str">
        <f t="shared" ca="1" si="36"/>
        <v>Spear Fighter I</v>
      </c>
      <c r="DC38" s="28" t="str">
        <f t="shared" si="11"/>
        <v/>
      </c>
      <c r="DD38" s="37" t="str">
        <f t="shared" ca="1" si="37"/>
        <v>Spear Fighter I</v>
      </c>
      <c r="DN38" s="32">
        <v>37</v>
      </c>
      <c r="DO38" s="34" t="s">
        <v>646</v>
      </c>
      <c r="DP38" s="38">
        <f t="shared" si="28"/>
        <v>0</v>
      </c>
      <c r="DQ38" s="173" t="str">
        <f t="shared" si="19"/>
        <v>(Anim) 0</v>
      </c>
      <c r="DR38" s="36" t="str">
        <f t="shared" si="20"/>
        <v/>
      </c>
      <c r="DS38" s="37" t="str">
        <f t="shared" si="21"/>
        <v>(Heal) Treat Ailment</v>
      </c>
      <c r="DT38" s="235">
        <f>CharGen!AD12</f>
        <v>0</v>
      </c>
      <c r="DU38" s="236">
        <f>IF(DT38=0,0,CharGen!AC12)</f>
        <v>0</v>
      </c>
      <c r="DV38" s="154">
        <f t="shared" si="14"/>
        <v>0</v>
      </c>
      <c r="DW38" s="243">
        <f>IF(COUNTIF('Char Sheet p1'!$AP$7:$AP$35,DQ38)=0,0,ROUNDDOWN(SUMIF('Char Sheet p1'!$AP$7:$AP$35,DQ38,'Char Sheet p1'!$AQ$7:$AQ$35)/10,0))</f>
        <v>0</v>
      </c>
      <c r="DX38" s="240">
        <f t="shared" si="22"/>
        <v>0</v>
      </c>
      <c r="DY38" s="36">
        <f t="shared" si="30"/>
        <v>11</v>
      </c>
      <c r="DZ38" s="36" t="str">
        <f t="shared" si="15"/>
        <v/>
      </c>
      <c r="EA38" s="245">
        <v>1</v>
      </c>
      <c r="EB38" s="75" t="str">
        <f>DO314</f>
        <v>Status</v>
      </c>
      <c r="EC38" s="246" t="str">
        <f>IF(EA38&gt;$EB$39,"",INDEX($DP$314:$DP$339,SMALL($DZ$314:$DZ$339,EA38),1))</f>
        <v/>
      </c>
      <c r="ED38" s="247" t="str">
        <f t="shared" si="23"/>
        <v/>
      </c>
      <c r="EE38" s="36">
        <f t="shared" si="29"/>
        <v>3</v>
      </c>
    </row>
    <row r="39" spans="1:135" ht="11.25">
      <c r="C39" s="116" t="str">
        <f>"Tables!"&amp;ADDRESS(ROW(C41),COLUMN())&amp;":"&amp;ADDRESS(ROW(C40)+COUNTA(C41:C114),COLUMN())</f>
        <v>Tables!$C$41:$C$99</v>
      </c>
      <c r="Q39" s="19">
        <f ca="1">SUMIF(athspec,"Strength",athspecval)</f>
        <v>0</v>
      </c>
      <c r="X39" s="16"/>
      <c r="Y39" s="16"/>
      <c r="Z39" s="16"/>
      <c r="AA39" s="16"/>
      <c r="AB39" s="16"/>
      <c r="AC39" s="16"/>
      <c r="AD39" s="16"/>
      <c r="AE39" s="25"/>
      <c r="AG39" s="32" t="s">
        <v>30</v>
      </c>
      <c r="AH39" s="34" t="s">
        <v>881</v>
      </c>
      <c r="AI39" s="34" t="s">
        <v>942</v>
      </c>
      <c r="AJ39" s="31"/>
      <c r="AK39" s="31"/>
      <c r="AL39" s="31" t="str">
        <f t="shared" si="31"/>
        <v/>
      </c>
      <c r="AM39" s="31">
        <f t="shared" si="38"/>
        <v>0</v>
      </c>
      <c r="AN39" s="31">
        <f t="shared" si="24"/>
        <v>38</v>
      </c>
      <c r="AO39" s="35" t="s">
        <v>37</v>
      </c>
      <c r="AP39" s="134"/>
      <c r="AQ39" s="47"/>
      <c r="AR39" s="134"/>
      <c r="AS39" s="47"/>
      <c r="AT39" s="134"/>
      <c r="AU39" s="47"/>
      <c r="AV39" s="134"/>
      <c r="AW39" s="47"/>
      <c r="AX39" s="134"/>
      <c r="AY39" s="47"/>
      <c r="AZ39" s="134"/>
      <c r="BA39" s="47"/>
      <c r="BB39" s="134"/>
      <c r="BC39" s="47"/>
      <c r="BD39" s="134"/>
      <c r="BE39" s="47"/>
      <c r="BF39" s="134"/>
      <c r="BG39" s="47"/>
      <c r="BH39" s="134"/>
      <c r="BI39" s="47"/>
      <c r="BJ39" s="134"/>
      <c r="BK39" s="47"/>
      <c r="BL39" s="134"/>
      <c r="BM39" s="47"/>
      <c r="BN39" s="134"/>
      <c r="BO39" s="47"/>
      <c r="BP39" s="134"/>
      <c r="BQ39" s="47"/>
      <c r="BR39" s="134"/>
      <c r="BS39" s="47"/>
      <c r="BT39" s="134"/>
      <c r="BU39" s="47"/>
      <c r="BV39" s="134"/>
      <c r="BW39" s="47"/>
      <c r="BX39" s="134"/>
      <c r="BY39" s="47"/>
      <c r="BZ39" s="134"/>
      <c r="CA39" s="47"/>
      <c r="CB39" s="120"/>
      <c r="CC39" s="120"/>
      <c r="CD39" s="120"/>
      <c r="CE39" s="120"/>
      <c r="CF39" s="120"/>
      <c r="CG39" s="120"/>
      <c r="CH39" s="120"/>
      <c r="CI39" s="120"/>
      <c r="CJ39" s="120"/>
      <c r="CK39" s="179" t="str">
        <f t="shared" si="1"/>
        <v/>
      </c>
      <c r="CL39" s="37" t="str">
        <f t="shared" ca="1" si="32"/>
        <v>Spear Fighter I</v>
      </c>
      <c r="CM39" s="36" t="str">
        <f t="shared" si="16"/>
        <v/>
      </c>
      <c r="CN39" s="37" t="str">
        <f ca="1">IF($AN39&gt;CN$1,"",INDEX($AG$2:$AG$226,SMALL(CM$2:$CM$226,$AN39),1))</f>
        <v>Spear Fighter I</v>
      </c>
      <c r="CO39" s="36" t="str">
        <f t="shared" si="17"/>
        <v/>
      </c>
      <c r="CP39" s="37" t="str">
        <f t="shared" ca="1" si="18"/>
        <v>Spear Fighter I</v>
      </c>
      <c r="CS39" s="28" t="str">
        <f t="shared" si="3"/>
        <v/>
      </c>
      <c r="CT39" s="37" t="str">
        <f t="shared" ca="1" si="33"/>
        <v>Sponsor</v>
      </c>
      <c r="CU39" s="28" t="str">
        <f t="shared" si="3"/>
        <v/>
      </c>
      <c r="CV39" s="37" t="str">
        <f t="shared" ca="1" si="34"/>
        <v>Sponsor</v>
      </c>
      <c r="CW39" s="28" t="str">
        <f t="shared" si="6"/>
        <v/>
      </c>
      <c r="CX39" s="37" t="str">
        <f t="shared" ca="1" si="35"/>
        <v>Sponsor</v>
      </c>
      <c r="CY39" s="28" t="str">
        <f t="shared" si="8"/>
        <v/>
      </c>
      <c r="CZ39" s="37" t="str">
        <f t="shared" ca="1" si="35"/>
        <v>Sponsor</v>
      </c>
      <c r="DA39" s="28" t="str">
        <f t="shared" si="9"/>
        <v/>
      </c>
      <c r="DB39" s="37" t="str">
        <f t="shared" ca="1" si="36"/>
        <v>Sponsor</v>
      </c>
      <c r="DC39" s="28" t="str">
        <f t="shared" si="11"/>
        <v/>
      </c>
      <c r="DD39" s="37" t="str">
        <f t="shared" ca="1" si="37"/>
        <v>Sponsor</v>
      </c>
      <c r="DN39" s="32">
        <v>38</v>
      </c>
      <c r="DO39" s="34" t="s">
        <v>646</v>
      </c>
      <c r="DP39" s="38">
        <f t="shared" si="28"/>
        <v>0</v>
      </c>
      <c r="DQ39" s="173" t="str">
        <f t="shared" si="19"/>
        <v>(Anim) 0</v>
      </c>
      <c r="DR39" s="36" t="str">
        <f t="shared" si="20"/>
        <v/>
      </c>
      <c r="DS39" s="37" t="str">
        <f t="shared" si="21"/>
        <v>(Heal) Treat Injury</v>
      </c>
      <c r="DT39" s="235">
        <f>CharGen!AD13</f>
        <v>0</v>
      </c>
      <c r="DU39" s="236">
        <f>IF(DT39=0,0,CharGen!AC13)</f>
        <v>0</v>
      </c>
      <c r="DV39" s="154">
        <f t="shared" si="14"/>
        <v>0</v>
      </c>
      <c r="DW39" s="243">
        <f>IF(COUNTIF('Char Sheet p1'!$AP$7:$AP$35,DQ39)=0,0,ROUNDDOWN(SUMIF('Char Sheet p1'!$AP$7:$AP$35,DQ39,'Char Sheet p1'!$AQ$7:$AQ$35)/10,0))</f>
        <v>0</v>
      </c>
      <c r="DX39" s="240">
        <f t="shared" si="22"/>
        <v>0</v>
      </c>
      <c r="DY39" s="36">
        <f t="shared" si="30"/>
        <v>12</v>
      </c>
      <c r="DZ39" s="36" t="str">
        <f t="shared" si="15"/>
        <v/>
      </c>
      <c r="EA39" s="36">
        <v>2</v>
      </c>
      <c r="EB39" s="78">
        <f>COUNT(DZ314:DZ339)</f>
        <v>0</v>
      </c>
      <c r="EC39" s="32" t="str">
        <f>IF(EA39&gt;$EB$39,"",INDEX($DP$314:$DP$339,SMALL($DZ$314:$DZ$339,EA39),1))</f>
        <v/>
      </c>
      <c r="ED39" s="39" t="str">
        <f t="shared" si="23"/>
        <v/>
      </c>
      <c r="EE39" s="36">
        <f t="shared" si="29"/>
        <v>3</v>
      </c>
    </row>
    <row r="40" spans="1:135">
      <c r="A40" s="165" t="s">
        <v>409</v>
      </c>
      <c r="B40" s="73" t="s">
        <v>410</v>
      </c>
      <c r="C40" s="17" t="s">
        <v>347</v>
      </c>
      <c r="D40" s="18" t="s">
        <v>751</v>
      </c>
      <c r="E40" s="11" t="s">
        <v>407</v>
      </c>
      <c r="F40" s="11" t="s">
        <v>332</v>
      </c>
      <c r="G40" s="11" t="s">
        <v>411</v>
      </c>
      <c r="H40" s="73" t="s">
        <v>408</v>
      </c>
      <c r="I40" s="73" t="s">
        <v>171</v>
      </c>
      <c r="J40" s="12" t="s">
        <v>413</v>
      </c>
      <c r="K40" s="182" t="s">
        <v>731</v>
      </c>
      <c r="L40" s="11" t="s">
        <v>416</v>
      </c>
      <c r="M40" s="11" t="s">
        <v>439</v>
      </c>
      <c r="N40" s="11" t="s">
        <v>434</v>
      </c>
      <c r="O40" s="11" t="s">
        <v>429</v>
      </c>
      <c r="P40" s="11" t="s">
        <v>315</v>
      </c>
      <c r="Q40" s="11" t="s">
        <v>421</v>
      </c>
      <c r="R40" s="11" t="s">
        <v>422</v>
      </c>
      <c r="S40" s="11" t="s">
        <v>424</v>
      </c>
      <c r="T40" s="11" t="s">
        <v>425</v>
      </c>
      <c r="U40" s="11" t="s">
        <v>428</v>
      </c>
      <c r="V40" s="73" t="s">
        <v>435</v>
      </c>
      <c r="W40" s="21" t="s">
        <v>443</v>
      </c>
      <c r="X40" s="21" t="s">
        <v>444</v>
      </c>
      <c r="Y40" s="21" t="s">
        <v>433</v>
      </c>
      <c r="Z40" s="21" t="s">
        <v>451</v>
      </c>
      <c r="AA40" s="21" t="s">
        <v>453</v>
      </c>
      <c r="AB40" s="21" t="s">
        <v>750</v>
      </c>
      <c r="AC40" s="21" t="s">
        <v>862</v>
      </c>
      <c r="AD40" s="21" t="s">
        <v>445</v>
      </c>
      <c r="AE40" s="21" t="s">
        <v>862</v>
      </c>
      <c r="AG40" s="32" t="s">
        <v>31</v>
      </c>
      <c r="AH40" s="34" t="s">
        <v>773</v>
      </c>
      <c r="AI40" s="34" t="s">
        <v>942</v>
      </c>
      <c r="AJ40" s="31"/>
      <c r="AK40" s="31"/>
      <c r="AL40" s="31" t="str">
        <f t="shared" si="31"/>
        <v/>
      </c>
      <c r="AM40" s="31">
        <f t="shared" si="38"/>
        <v>0</v>
      </c>
      <c r="AN40" s="31">
        <f t="shared" si="24"/>
        <v>39</v>
      </c>
      <c r="AO40" s="35" t="s">
        <v>38</v>
      </c>
      <c r="AP40" s="134"/>
      <c r="AQ40" s="47"/>
      <c r="AR40" s="134"/>
      <c r="AS40" s="47"/>
      <c r="AT40" s="134"/>
      <c r="AU40" s="47"/>
      <c r="AV40" s="134"/>
      <c r="AW40" s="47"/>
      <c r="AX40" s="134"/>
      <c r="AY40" s="47"/>
      <c r="AZ40" s="134"/>
      <c r="BA40" s="47"/>
      <c r="BB40" s="134"/>
      <c r="BC40" s="47"/>
      <c r="BD40" s="134"/>
      <c r="BE40" s="47"/>
      <c r="BF40" s="134"/>
      <c r="BG40" s="47"/>
      <c r="BH40" s="134"/>
      <c r="BI40" s="47"/>
      <c r="BJ40" s="134"/>
      <c r="BK40" s="47"/>
      <c r="BL40" s="134"/>
      <c r="BM40" s="47"/>
      <c r="BN40" s="134"/>
      <c r="BO40" s="47"/>
      <c r="BP40" s="134"/>
      <c r="BQ40" s="47"/>
      <c r="BR40" s="134"/>
      <c r="BS40" s="47"/>
      <c r="BT40" s="134"/>
      <c r="BU40" s="47"/>
      <c r="BV40" s="134"/>
      <c r="BW40" s="47"/>
      <c r="BX40" s="134"/>
      <c r="BY40" s="47"/>
      <c r="BZ40" s="134"/>
      <c r="CA40" s="47"/>
      <c r="CB40" s="120"/>
      <c r="CC40" s="120"/>
      <c r="CD40" s="120"/>
      <c r="CE40" s="120"/>
      <c r="CF40" s="120"/>
      <c r="CG40" s="120"/>
      <c r="CH40" s="120"/>
      <c r="CI40" s="120"/>
      <c r="CJ40" s="120"/>
      <c r="CK40" s="179" t="str">
        <f t="shared" si="1"/>
        <v/>
      </c>
      <c r="CL40" s="37" t="str">
        <f t="shared" ca="1" si="32"/>
        <v>Sponsor</v>
      </c>
      <c r="CM40" s="36" t="str">
        <f t="shared" si="16"/>
        <v/>
      </c>
      <c r="CN40" s="37" t="str">
        <f ca="1">IF($AN40&gt;CN$1,"",INDEX($AG$2:$AG$226,SMALL(CM$2:$CM$226,$AN40),1))</f>
        <v>Sponsor</v>
      </c>
      <c r="CO40" s="36" t="str">
        <f t="shared" si="17"/>
        <v/>
      </c>
      <c r="CP40" s="37" t="str">
        <f t="shared" ca="1" si="18"/>
        <v>Sponsor</v>
      </c>
      <c r="CS40" s="28" t="str">
        <f t="shared" si="3"/>
        <v/>
      </c>
      <c r="CT40" s="37" t="str">
        <f t="shared" ca="1" si="33"/>
        <v>Talented (Agility)</v>
      </c>
      <c r="CU40" s="28" t="str">
        <f t="shared" si="3"/>
        <v/>
      </c>
      <c r="CV40" s="37" t="str">
        <f t="shared" ca="1" si="34"/>
        <v>Talented (Agility)</v>
      </c>
      <c r="CW40" s="28" t="str">
        <f t="shared" si="6"/>
        <v/>
      </c>
      <c r="CX40" s="37" t="str">
        <f t="shared" ca="1" si="35"/>
        <v>Talented (Agility)</v>
      </c>
      <c r="CY40" s="28" t="str">
        <f t="shared" si="8"/>
        <v/>
      </c>
      <c r="CZ40" s="37" t="str">
        <f t="shared" ca="1" si="35"/>
        <v>Talented (Agility)</v>
      </c>
      <c r="DA40" s="28" t="str">
        <f t="shared" si="9"/>
        <v/>
      </c>
      <c r="DB40" s="37" t="str">
        <f t="shared" ca="1" si="36"/>
        <v>Talented (Agility)</v>
      </c>
      <c r="DC40" s="28" t="str">
        <f t="shared" si="11"/>
        <v/>
      </c>
      <c r="DD40" s="37" t="str">
        <f t="shared" ca="1" si="37"/>
        <v>Talented (Agility)</v>
      </c>
      <c r="DN40" s="32">
        <v>39</v>
      </c>
      <c r="DO40" s="34" t="s">
        <v>646</v>
      </c>
      <c r="DP40" s="38">
        <f t="shared" si="28"/>
        <v>0</v>
      </c>
      <c r="DQ40" s="173" t="str">
        <f t="shared" si="19"/>
        <v>(Anim) 0</v>
      </c>
      <c r="DR40" s="36" t="str">
        <f t="shared" si="20"/>
        <v/>
      </c>
      <c r="DS40" s="37" t="str">
        <f t="shared" si="21"/>
        <v>(Know) Education</v>
      </c>
      <c r="DT40" s="235">
        <f>CharGen!AD14</f>
        <v>0</v>
      </c>
      <c r="DU40" s="236">
        <f>IF(DT40=0,0,CharGen!AC14)</f>
        <v>0</v>
      </c>
      <c r="DV40" s="154">
        <f t="shared" si="14"/>
        <v>0</v>
      </c>
      <c r="DW40" s="243">
        <f>IF(COUNTIF('Char Sheet p1'!$AP$7:$AP$35,DQ40)=0,0,ROUNDDOWN(SUMIF('Char Sheet p1'!$AP$7:$AP$35,DQ40,'Char Sheet p1'!$AQ$7:$AQ$35)/10,0))</f>
        <v>0</v>
      </c>
      <c r="DX40" s="240">
        <f t="shared" si="22"/>
        <v>0</v>
      </c>
      <c r="DY40" s="36">
        <f t="shared" si="30"/>
        <v>13</v>
      </c>
      <c r="DZ40" s="36" t="str">
        <f t="shared" si="15"/>
        <v/>
      </c>
      <c r="EA40" s="55">
        <v>3</v>
      </c>
      <c r="EC40" s="41" t="str">
        <f>IF(EA40&gt;$EB$39,"",INDEX($DP$314:$DP$339,SMALL($DZ$314:$DZ$339,EA40),1))</f>
        <v/>
      </c>
      <c r="ED40" s="43" t="str">
        <f t="shared" si="23"/>
        <v/>
      </c>
      <c r="EE40" s="36">
        <f t="shared" si="29"/>
        <v>3</v>
      </c>
    </row>
    <row r="41" spans="1:135" ht="11.25">
      <c r="A41" s="164" t="str">
        <f t="shared" ref="A41:A66" si="39">S2</f>
        <v>Axes</v>
      </c>
      <c r="B41" s="167">
        <f t="shared" ref="B41:B66" ca="1" si="40">IF(A41=0,0,SUMIF(figspec,A41,figspecval))</f>
        <v>0</v>
      </c>
      <c r="C41" s="23" t="s">
        <v>348</v>
      </c>
      <c r="D41" s="26" t="s">
        <v>673</v>
      </c>
      <c r="E41" s="22"/>
      <c r="F41" s="22">
        <f t="shared" ref="F41:F72" ca="1" si="41">IF(D41="","",VLOOKUP(D41,weapontypes,2,FALSE)-E41+IF(COUNTIF(qualities,$AG$155)=0,0,E41))</f>
        <v>0</v>
      </c>
      <c r="G41" s="26" t="s">
        <v>672</v>
      </c>
      <c r="H41" s="167">
        <f ca="1">IF(C41="","",INDIRECT(G41)+IF(F41&lt;0,F41,0))</f>
        <v>3</v>
      </c>
      <c r="I41" s="167" t="str">
        <f ca="1">IF(F41&lt;1,"","+"&amp;F41&amp;"B")</f>
        <v/>
      </c>
      <c r="J41" s="185"/>
      <c r="K41" s="101"/>
      <c r="L41" s="22"/>
      <c r="M41" s="22"/>
      <c r="N41" s="22"/>
      <c r="O41" s="22" t="s">
        <v>415</v>
      </c>
      <c r="P41" s="22"/>
      <c r="Q41" s="22"/>
      <c r="R41" s="22"/>
      <c r="S41" s="22"/>
      <c r="T41" s="22"/>
      <c r="U41" s="22"/>
      <c r="V41" s="167" t="s">
        <v>436</v>
      </c>
      <c r="W41" s="28" t="s">
        <v>440</v>
      </c>
      <c r="X41" s="28"/>
      <c r="Y41" s="28">
        <f ca="1">IF(W41="","",R41+AC41+AD41+MAX(INDIRECT(W41)+X41,1))</f>
        <v>4</v>
      </c>
      <c r="Z41" s="28"/>
      <c r="AA41" s="175" t="str">
        <f t="shared" ref="AA41:AA51" si="42">IF(K41=0,"","Bulk "&amp;K41&amp;", ")&amp;IF(L41="","",L41&amp;", ")&amp;IF(M41=0,"","Def+"&amp;M41&amp;", ")&amp;IF(N41="","",N41&amp;", ")&amp;IF(O41="","",O41&amp;", ")&amp;IF(P41=0,"","Off-hand+"&amp;P41&amp;", ")&amp;IF(Q41=0,"","Pierce "&amp;Q41&amp;", ")&amp;IF(S41="","","Reload "&amp;S41&amp;", ")&amp;IF(T41=0,"","Shatter "&amp;T41&amp;", ")&amp;IF(U41="","",U41&amp;", ")&amp;IF(V41="","",V41&amp;", ")</f>
        <v xml:space="preserve">Adaptable, </v>
      </c>
      <c r="AB41" s="175" t="str">
        <f>IF(AA41="","",LEFT(AA41,LEN(AA41)-2))</f>
        <v>Adaptable</v>
      </c>
      <c r="AC41" s="175">
        <f>COUNTIF($AE$41:$AE$50,C41)</f>
        <v>0</v>
      </c>
      <c r="AD41" s="175">
        <f>COUNTIF($AE$52:$AE$61,C41)</f>
        <v>0</v>
      </c>
      <c r="AE41" s="175">
        <f>IF('Char Sheet p1'!B38=$AE$40,'Char Sheet p1'!P38,0)</f>
        <v>0</v>
      </c>
      <c r="AG41" s="32" t="s">
        <v>32</v>
      </c>
      <c r="AH41" s="34" t="s">
        <v>881</v>
      </c>
      <c r="AI41" s="34" t="s">
        <v>942</v>
      </c>
      <c r="AJ41" s="31"/>
      <c r="AK41" s="31"/>
      <c r="AL41" s="31" t="str">
        <f t="shared" si="31"/>
        <v/>
      </c>
      <c r="AM41" s="31">
        <f t="shared" si="38"/>
        <v>0</v>
      </c>
      <c r="AN41" s="31">
        <f t="shared" si="24"/>
        <v>40</v>
      </c>
      <c r="AO41" s="35" t="s">
        <v>39</v>
      </c>
      <c r="AP41" s="134"/>
      <c r="AQ41" s="47"/>
      <c r="AR41" s="134"/>
      <c r="AS41" s="47"/>
      <c r="AT41" s="134"/>
      <c r="AU41" s="47"/>
      <c r="AV41" s="134"/>
      <c r="AW41" s="47"/>
      <c r="AX41" s="134"/>
      <c r="AY41" s="47"/>
      <c r="AZ41" s="134"/>
      <c r="BA41" s="47"/>
      <c r="BB41" s="134"/>
      <c r="BC41" s="47"/>
      <c r="BD41" s="134"/>
      <c r="BE41" s="47"/>
      <c r="BF41" s="134"/>
      <c r="BG41" s="47"/>
      <c r="BH41" s="134"/>
      <c r="BI41" s="47"/>
      <c r="BJ41" s="134"/>
      <c r="BK41" s="47"/>
      <c r="BL41" s="134"/>
      <c r="BM41" s="47"/>
      <c r="BN41" s="134"/>
      <c r="BO41" s="47"/>
      <c r="BP41" s="134"/>
      <c r="BQ41" s="47"/>
      <c r="BR41" s="134"/>
      <c r="BS41" s="47"/>
      <c r="BT41" s="134"/>
      <c r="BU41" s="47"/>
      <c r="BV41" s="134"/>
      <c r="BW41" s="47"/>
      <c r="BX41" s="134"/>
      <c r="BY41" s="47"/>
      <c r="BZ41" s="134"/>
      <c r="CA41" s="47"/>
      <c r="CB41" s="120"/>
      <c r="CC41" s="120"/>
      <c r="CD41" s="120"/>
      <c r="CE41" s="120"/>
      <c r="CF41" s="120"/>
      <c r="CG41" s="120"/>
      <c r="CH41" s="120"/>
      <c r="CI41" s="120"/>
      <c r="CJ41" s="120"/>
      <c r="CK41" s="179" t="str">
        <f t="shared" si="1"/>
        <v/>
      </c>
      <c r="CL41" s="37" t="str">
        <f t="shared" ca="1" si="32"/>
        <v>Talented (Agility)</v>
      </c>
      <c r="CM41" s="36" t="str">
        <f t="shared" si="16"/>
        <v/>
      </c>
      <c r="CN41" s="37" t="str">
        <f ca="1">IF($AN41&gt;CN$1,"",INDEX($AG$2:$AG$226,SMALL(CM$2:$CM$226,$AN41),1))</f>
        <v>Talented (Agility)</v>
      </c>
      <c r="CO41" s="36" t="str">
        <f t="shared" si="17"/>
        <v/>
      </c>
      <c r="CP41" s="37" t="str">
        <f t="shared" ca="1" si="18"/>
        <v>Talented (Agility)</v>
      </c>
      <c r="CS41" s="28" t="str">
        <f t="shared" si="3"/>
        <v/>
      </c>
      <c r="CT41" s="37" t="str">
        <f t="shared" ca="1" si="33"/>
        <v>Talented (Animal Handling)</v>
      </c>
      <c r="CU41" s="28" t="str">
        <f t="shared" si="3"/>
        <v/>
      </c>
      <c r="CV41" s="37" t="str">
        <f t="shared" ca="1" si="34"/>
        <v>Talented (Animal Handling)</v>
      </c>
      <c r="CW41" s="28" t="str">
        <f t="shared" si="6"/>
        <v/>
      </c>
      <c r="CX41" s="37" t="str">
        <f t="shared" ca="1" si="35"/>
        <v>Talented (Animal Handling)</v>
      </c>
      <c r="CY41" s="28" t="str">
        <f t="shared" si="8"/>
        <v/>
      </c>
      <c r="CZ41" s="37" t="str">
        <f t="shared" ca="1" si="35"/>
        <v>Talented (Animal Handling)</v>
      </c>
      <c r="DA41" s="28" t="str">
        <f t="shared" si="9"/>
        <v/>
      </c>
      <c r="DB41" s="37" t="str">
        <f t="shared" ca="1" si="36"/>
        <v>Talented (Animal Handling)</v>
      </c>
      <c r="DC41" s="28" t="str">
        <f t="shared" si="11"/>
        <v/>
      </c>
      <c r="DD41" s="37" t="str">
        <f t="shared" ca="1" si="37"/>
        <v>Talented (Animal Handling)</v>
      </c>
      <c r="DN41" s="32">
        <v>40</v>
      </c>
      <c r="DO41" s="34" t="s">
        <v>646</v>
      </c>
      <c r="DP41" s="38">
        <f t="shared" si="28"/>
        <v>0</v>
      </c>
      <c r="DQ41" s="173" t="str">
        <f t="shared" si="19"/>
        <v>(Anim) 0</v>
      </c>
      <c r="DR41" s="36" t="str">
        <f t="shared" si="20"/>
        <v/>
      </c>
      <c r="DS41" s="37" t="str">
        <f t="shared" si="21"/>
        <v>(Know) Research</v>
      </c>
      <c r="DT41" s="235">
        <f>CharGen!AD15</f>
        <v>0</v>
      </c>
      <c r="DU41" s="236">
        <f>IF(DT41=0,0,CharGen!AC15)</f>
        <v>0</v>
      </c>
      <c r="DV41" s="154">
        <f t="shared" si="14"/>
        <v>0</v>
      </c>
      <c r="DW41" s="243">
        <f>IF(COUNTIF('Char Sheet p1'!$AP$7:$AP$35,DQ41)=0,0,ROUNDDOWN(SUMIF('Char Sheet p1'!$AP$7:$AP$35,DQ41,'Char Sheet p1'!$AQ$7:$AQ$35)/10,0))</f>
        <v>0</v>
      </c>
      <c r="DX41" s="240">
        <f t="shared" si="22"/>
        <v>0</v>
      </c>
      <c r="DY41" s="36">
        <f t="shared" si="30"/>
        <v>14</v>
      </c>
      <c r="DZ41" s="36" t="str">
        <f t="shared" si="15"/>
        <v/>
      </c>
      <c r="EA41" s="245">
        <v>1</v>
      </c>
      <c r="EB41" s="75" t="str">
        <f>DO340</f>
        <v>Stealth</v>
      </c>
      <c r="EC41" s="246" t="str">
        <f>IF(EA41&gt;$EB$42,"",INDEX($DP$340:$DP$365,SMALL($DZ$340:$DZ$365,EA41),1))</f>
        <v>Sneak</v>
      </c>
      <c r="ED41" s="247">
        <f t="shared" si="23"/>
        <v>2</v>
      </c>
      <c r="EE41" s="36">
        <f t="shared" si="29"/>
        <v>3</v>
      </c>
    </row>
    <row r="42" spans="1:135" ht="11.25">
      <c r="A42" s="163" t="str">
        <f t="shared" si="39"/>
        <v>Bludgeons</v>
      </c>
      <c r="B42" s="168">
        <f t="shared" ca="1" si="40"/>
        <v>0</v>
      </c>
      <c r="C42" s="32" t="s">
        <v>349</v>
      </c>
      <c r="D42" s="34" t="s">
        <v>673</v>
      </c>
      <c r="E42" s="31"/>
      <c r="F42" s="31">
        <f t="shared" ca="1" si="41"/>
        <v>0</v>
      </c>
      <c r="G42" s="34" t="s">
        <v>672</v>
      </c>
      <c r="H42" s="168">
        <f t="shared" ref="H42:H105" ca="1" si="43">IF(C42="","",INDIRECT(G42)+IF(F42&lt;0,F42,0))</f>
        <v>3</v>
      </c>
      <c r="I42" s="168" t="str">
        <f t="shared" ref="I42:I105" ca="1" si="44">IF(F42&lt;1,"","+"&amp;F42&amp;"B")</f>
        <v/>
      </c>
      <c r="J42" s="154"/>
      <c r="K42" s="102"/>
      <c r="L42" s="31"/>
      <c r="M42" s="31"/>
      <c r="N42" s="31"/>
      <c r="O42" s="31"/>
      <c r="P42" s="31"/>
      <c r="Q42" s="31"/>
      <c r="R42" s="31"/>
      <c r="S42" s="31"/>
      <c r="T42" s="31">
        <v>1</v>
      </c>
      <c r="U42" s="31"/>
      <c r="V42" s="168" t="s">
        <v>436</v>
      </c>
      <c r="W42" s="36" t="s">
        <v>440</v>
      </c>
      <c r="X42" s="36">
        <v>-1</v>
      </c>
      <c r="Y42" s="36">
        <f t="shared" ref="Y42:Y105" ca="1" si="45">IF(W42="","",R42+AC42+AD42+MAX(INDIRECT(W42)+X42,1))</f>
        <v>3</v>
      </c>
      <c r="Z42" s="36"/>
      <c r="AA42" s="176" t="str">
        <f t="shared" si="42"/>
        <v xml:space="preserve">Shatter 1, </v>
      </c>
      <c r="AB42" s="176" t="str">
        <f t="shared" ref="AB42:AB105" si="46">IF(AA42="","",LEFT(AA42,LEN(AA42)-2))</f>
        <v>Shatter 1</v>
      </c>
      <c r="AC42" s="176">
        <f t="shared" ref="AC42:AC105" si="47">COUNTIF($AE$41:$AE$50,C42)</f>
        <v>0</v>
      </c>
      <c r="AD42" s="176">
        <f t="shared" ref="AD42:AD105" si="48">COUNTIF($AE$52:$AE$61,C42)</f>
        <v>0</v>
      </c>
      <c r="AE42" s="176">
        <f>IF('Char Sheet p1'!B39=$AE$40,'Char Sheet p1'!P39,0)</f>
        <v>0</v>
      </c>
      <c r="AG42" s="32" t="s">
        <v>33</v>
      </c>
      <c r="AH42" s="34" t="s">
        <v>880</v>
      </c>
      <c r="AI42" s="34" t="s">
        <v>942</v>
      </c>
      <c r="AJ42" s="31"/>
      <c r="AK42" s="31"/>
      <c r="AL42" s="31" t="str">
        <f t="shared" si="31"/>
        <v/>
      </c>
      <c r="AM42" s="31">
        <f t="shared" si="38"/>
        <v>0</v>
      </c>
      <c r="AN42" s="31">
        <f t="shared" si="24"/>
        <v>41</v>
      </c>
      <c r="AO42" s="35" t="s">
        <v>40</v>
      </c>
      <c r="AP42" s="134"/>
      <c r="AQ42" s="47"/>
      <c r="AR42" s="134"/>
      <c r="AS42" s="47"/>
      <c r="AT42" s="134"/>
      <c r="AU42" s="47"/>
      <c r="AV42" s="134"/>
      <c r="AW42" s="47"/>
      <c r="AX42" s="134"/>
      <c r="AY42" s="47"/>
      <c r="AZ42" s="134"/>
      <c r="BA42" s="47"/>
      <c r="BB42" s="134"/>
      <c r="BC42" s="47"/>
      <c r="BD42" s="134"/>
      <c r="BE42" s="47"/>
      <c r="BF42" s="134"/>
      <c r="BG42" s="47"/>
      <c r="BH42" s="134"/>
      <c r="BI42" s="47"/>
      <c r="BJ42" s="134"/>
      <c r="BK42" s="47"/>
      <c r="BL42" s="134"/>
      <c r="BM42" s="47"/>
      <c r="BN42" s="134"/>
      <c r="BO42" s="47"/>
      <c r="BP42" s="134"/>
      <c r="BQ42" s="47"/>
      <c r="BR42" s="134"/>
      <c r="BS42" s="47"/>
      <c r="BT42" s="134"/>
      <c r="BU42" s="47"/>
      <c r="BV42" s="134"/>
      <c r="BW42" s="47"/>
      <c r="BX42" s="134"/>
      <c r="BY42" s="47"/>
      <c r="BZ42" s="134"/>
      <c r="CA42" s="47"/>
      <c r="CB42" s="120"/>
      <c r="CC42" s="120"/>
      <c r="CD42" s="120"/>
      <c r="CE42" s="120"/>
      <c r="CF42" s="120"/>
      <c r="CG42" s="120"/>
      <c r="CH42" s="120"/>
      <c r="CI42" s="120"/>
      <c r="CJ42" s="120"/>
      <c r="CK42" s="179" t="str">
        <f t="shared" si="1"/>
        <v/>
      </c>
      <c r="CL42" s="37" t="str">
        <f t="shared" ca="1" si="32"/>
        <v>Talented (Animal Handling)</v>
      </c>
      <c r="CM42" s="36" t="str">
        <f t="shared" si="16"/>
        <v/>
      </c>
      <c r="CN42" s="37" t="str">
        <f ca="1">IF($AN42&gt;CN$1,"",INDEX($AG$2:$AG$226,SMALL(CM$2:$CM$226,$AN42),1))</f>
        <v>Talented (Animal Handling)</v>
      </c>
      <c r="CO42" s="36" t="str">
        <f t="shared" si="17"/>
        <v/>
      </c>
      <c r="CP42" s="37" t="str">
        <f t="shared" ca="1" si="18"/>
        <v>Talented (Animal Handling)</v>
      </c>
      <c r="CS42" s="28" t="str">
        <f t="shared" si="3"/>
        <v/>
      </c>
      <c r="CT42" s="37" t="str">
        <f t="shared" ca="1" si="33"/>
        <v>Talented (Athletics)</v>
      </c>
      <c r="CU42" s="28" t="str">
        <f t="shared" si="3"/>
        <v/>
      </c>
      <c r="CV42" s="37" t="str">
        <f t="shared" ca="1" si="34"/>
        <v>Talented (Athletics)</v>
      </c>
      <c r="CW42" s="28" t="str">
        <f t="shared" si="6"/>
        <v/>
      </c>
      <c r="CX42" s="37" t="str">
        <f t="shared" ca="1" si="35"/>
        <v>Talented (Athletics)</v>
      </c>
      <c r="CY42" s="28" t="str">
        <f t="shared" si="8"/>
        <v/>
      </c>
      <c r="CZ42" s="37" t="str">
        <f t="shared" ca="1" si="35"/>
        <v>Talented (Athletics)</v>
      </c>
      <c r="DA42" s="28" t="str">
        <f t="shared" si="9"/>
        <v/>
      </c>
      <c r="DB42" s="37" t="str">
        <f t="shared" ca="1" si="36"/>
        <v>Talented (Athletics)</v>
      </c>
      <c r="DC42" s="28" t="str">
        <f t="shared" si="11"/>
        <v/>
      </c>
      <c r="DD42" s="37" t="str">
        <f t="shared" ca="1" si="37"/>
        <v>Talented (Athletics)</v>
      </c>
      <c r="DN42" s="32">
        <v>41</v>
      </c>
      <c r="DO42" s="34" t="s">
        <v>646</v>
      </c>
      <c r="DP42" s="38">
        <f t="shared" si="28"/>
        <v>0</v>
      </c>
      <c r="DQ42" s="173" t="str">
        <f t="shared" si="19"/>
        <v>(Anim) 0</v>
      </c>
      <c r="DR42" s="36" t="str">
        <f t="shared" si="20"/>
        <v/>
      </c>
      <c r="DS42" s="37" t="str">
        <f t="shared" si="21"/>
        <v>(Know) Streetwise</v>
      </c>
      <c r="DT42" s="235">
        <f>CharGen!AD16</f>
        <v>0</v>
      </c>
      <c r="DU42" s="236">
        <f>IF(DT42=0,0,CharGen!AC16)</f>
        <v>0</v>
      </c>
      <c r="DV42" s="154">
        <f t="shared" si="14"/>
        <v>0</v>
      </c>
      <c r="DW42" s="243">
        <f>IF(COUNTIF('Char Sheet p1'!$AP$7:$AP$35,DQ42)=0,0,ROUNDDOWN(SUMIF('Char Sheet p1'!$AP$7:$AP$35,DQ42,'Char Sheet p1'!$AQ$7:$AQ$35)/10,0))</f>
        <v>0</v>
      </c>
      <c r="DX42" s="240">
        <f t="shared" si="22"/>
        <v>0</v>
      </c>
      <c r="DY42" s="36">
        <f t="shared" si="30"/>
        <v>15</v>
      </c>
      <c r="DZ42" s="36" t="str">
        <f t="shared" si="15"/>
        <v/>
      </c>
      <c r="EA42" s="36">
        <v>2</v>
      </c>
      <c r="EB42" s="78">
        <f>COUNT(DZ340:DZ365)</f>
        <v>1</v>
      </c>
      <c r="EC42" s="32" t="str">
        <f>IF(EA42&gt;$EB$42,"",INDEX($DP$340:$DP$365,SMALL($DZ$340:$DZ$365,EA42),1))</f>
        <v/>
      </c>
      <c r="ED42" s="39" t="str">
        <f t="shared" si="23"/>
        <v/>
      </c>
      <c r="EE42" s="36">
        <f t="shared" si="29"/>
        <v>3</v>
      </c>
    </row>
    <row r="43" spans="1:135">
      <c r="A43" s="163" t="str">
        <f t="shared" si="39"/>
        <v>Brawling</v>
      </c>
      <c r="B43" s="168">
        <f t="shared" ca="1" si="40"/>
        <v>0</v>
      </c>
      <c r="C43" s="32" t="s">
        <v>350</v>
      </c>
      <c r="D43" s="34" t="s">
        <v>673</v>
      </c>
      <c r="E43" s="31"/>
      <c r="F43" s="31">
        <f t="shared" ca="1" si="41"/>
        <v>0</v>
      </c>
      <c r="G43" s="34" t="s">
        <v>672</v>
      </c>
      <c r="H43" s="168">
        <f t="shared" ca="1" si="43"/>
        <v>3</v>
      </c>
      <c r="I43" s="168" t="str">
        <f t="shared" ca="1" si="44"/>
        <v/>
      </c>
      <c r="J43" s="154"/>
      <c r="K43" s="102"/>
      <c r="L43" s="31"/>
      <c r="M43" s="31">
        <v>1</v>
      </c>
      <c r="N43" s="31"/>
      <c r="O43" s="31"/>
      <c r="P43" s="31">
        <v>1</v>
      </c>
      <c r="Q43" s="31"/>
      <c r="R43" s="31"/>
      <c r="S43" s="31"/>
      <c r="T43" s="31"/>
      <c r="U43" s="31"/>
      <c r="V43" s="168" t="s">
        <v>436</v>
      </c>
      <c r="W43" s="36" t="s">
        <v>440</v>
      </c>
      <c r="X43" s="36">
        <v>-1</v>
      </c>
      <c r="Y43" s="36">
        <f t="shared" ca="1" si="45"/>
        <v>3</v>
      </c>
      <c r="Z43" s="36"/>
      <c r="AA43" s="176" t="str">
        <f t="shared" si="42"/>
        <v xml:space="preserve">Def+1, Off-hand+1, </v>
      </c>
      <c r="AB43" s="176" t="str">
        <f t="shared" si="46"/>
        <v>Def+1, Off-hand+1</v>
      </c>
      <c r="AC43" s="176">
        <f t="shared" si="47"/>
        <v>0</v>
      </c>
      <c r="AD43" s="176">
        <f t="shared" si="48"/>
        <v>0</v>
      </c>
      <c r="AE43" s="176">
        <f>IF('Char Sheet p1'!B41=$AE$40,'Char Sheet p1'!P41,0)</f>
        <v>0</v>
      </c>
      <c r="AG43" s="32" t="s">
        <v>34</v>
      </c>
      <c r="AH43" s="34" t="s">
        <v>789</v>
      </c>
      <c r="AI43" s="34" t="s">
        <v>942</v>
      </c>
      <c r="AJ43" s="31"/>
      <c r="AK43" s="31"/>
      <c r="AL43" s="31" t="str">
        <f t="shared" si="31"/>
        <v/>
      </c>
      <c r="AM43" s="31">
        <f t="shared" si="38"/>
        <v>0</v>
      </c>
      <c r="AN43" s="31">
        <f t="shared" si="24"/>
        <v>42</v>
      </c>
      <c r="AO43" s="35" t="s">
        <v>41</v>
      </c>
      <c r="AP43" s="134"/>
      <c r="AQ43" s="47"/>
      <c r="AR43" s="134"/>
      <c r="AS43" s="47"/>
      <c r="AT43" s="134"/>
      <c r="AU43" s="47"/>
      <c r="AV43" s="134"/>
      <c r="AW43" s="47"/>
      <c r="AX43" s="134"/>
      <c r="AY43" s="47"/>
      <c r="AZ43" s="134"/>
      <c r="BA43" s="47"/>
      <c r="BB43" s="134"/>
      <c r="BC43" s="47"/>
      <c r="BD43" s="134"/>
      <c r="BE43" s="47"/>
      <c r="BF43" s="134"/>
      <c r="BG43" s="47"/>
      <c r="BH43" s="134"/>
      <c r="BI43" s="47"/>
      <c r="BJ43" s="134"/>
      <c r="BK43" s="47"/>
      <c r="BL43" s="134"/>
      <c r="BM43" s="47"/>
      <c r="BN43" s="134"/>
      <c r="BO43" s="47"/>
      <c r="BP43" s="134"/>
      <c r="BQ43" s="47"/>
      <c r="BR43" s="134"/>
      <c r="BS43" s="47"/>
      <c r="BT43" s="134"/>
      <c r="BU43" s="47"/>
      <c r="BV43" s="134"/>
      <c r="BW43" s="47"/>
      <c r="BX43" s="134"/>
      <c r="BY43" s="47"/>
      <c r="BZ43" s="134"/>
      <c r="CA43" s="47"/>
      <c r="CB43" s="120"/>
      <c r="CC43" s="120"/>
      <c r="CD43" s="120"/>
      <c r="CE43" s="120"/>
      <c r="CF43" s="120"/>
      <c r="CG43" s="120"/>
      <c r="CH43" s="120"/>
      <c r="CI43" s="120"/>
      <c r="CJ43" s="120"/>
      <c r="CK43" s="179" t="str">
        <f t="shared" si="1"/>
        <v/>
      </c>
      <c r="CL43" s="37" t="str">
        <f t="shared" ca="1" si="32"/>
        <v>Talented (Athletics)</v>
      </c>
      <c r="CM43" s="36" t="str">
        <f t="shared" si="16"/>
        <v/>
      </c>
      <c r="CN43" s="37" t="str">
        <f ca="1">IF($AN43&gt;CN$1,"",INDEX($AG$2:$AG$226,SMALL(CM$2:$CM$226,$AN43),1))</f>
        <v>Talented (Athletics)</v>
      </c>
      <c r="CO43" s="36" t="str">
        <f t="shared" si="17"/>
        <v/>
      </c>
      <c r="CP43" s="37" t="str">
        <f t="shared" ca="1" si="18"/>
        <v>Talented (Athletics)</v>
      </c>
      <c r="CS43" s="28" t="str">
        <f t="shared" si="3"/>
        <v/>
      </c>
      <c r="CT43" s="37" t="str">
        <f t="shared" ca="1" si="33"/>
        <v>Talented (Awareness)</v>
      </c>
      <c r="CU43" s="28" t="str">
        <f t="shared" si="3"/>
        <v/>
      </c>
      <c r="CV43" s="37" t="str">
        <f t="shared" ca="1" si="34"/>
        <v>Talented (Awareness)</v>
      </c>
      <c r="CW43" s="28" t="str">
        <f t="shared" si="6"/>
        <v/>
      </c>
      <c r="CX43" s="37" t="str">
        <f t="shared" ca="1" si="35"/>
        <v>Talented (Awareness)</v>
      </c>
      <c r="CY43" s="28" t="str">
        <f t="shared" si="8"/>
        <v/>
      </c>
      <c r="CZ43" s="37" t="str">
        <f t="shared" ca="1" si="35"/>
        <v>Talented (Awareness)</v>
      </c>
      <c r="DA43" s="28" t="str">
        <f t="shared" si="9"/>
        <v/>
      </c>
      <c r="DB43" s="37" t="str">
        <f t="shared" ca="1" si="36"/>
        <v>Talented (Awareness)</v>
      </c>
      <c r="DC43" s="28" t="str">
        <f t="shared" si="11"/>
        <v/>
      </c>
      <c r="DD43" s="37" t="str">
        <f t="shared" ca="1" si="37"/>
        <v>Talented (Awareness)</v>
      </c>
      <c r="DN43" s="32">
        <v>42</v>
      </c>
      <c r="DO43" s="34" t="s">
        <v>646</v>
      </c>
      <c r="DP43" s="38">
        <f t="shared" si="28"/>
        <v>0</v>
      </c>
      <c r="DQ43" s="173" t="str">
        <f t="shared" si="19"/>
        <v>(Anim) 0</v>
      </c>
      <c r="DR43" s="36" t="str">
        <f t="shared" si="20"/>
        <v/>
      </c>
      <c r="DS43" s="37" t="str">
        <f t="shared" si="21"/>
        <v>(Mark) Bows</v>
      </c>
      <c r="DT43" s="235">
        <f>CharGen!AD17</f>
        <v>0</v>
      </c>
      <c r="DU43" s="236">
        <f>IF(DT43=0,0,CharGen!AC17)</f>
        <v>0</v>
      </c>
      <c r="DV43" s="154">
        <f t="shared" si="14"/>
        <v>0</v>
      </c>
      <c r="DW43" s="243">
        <f>IF(COUNTIF('Char Sheet p1'!$AP$7:$AP$35,DQ43)=0,0,ROUNDDOWN(SUMIF('Char Sheet p1'!$AP$7:$AP$35,DQ43,'Char Sheet p1'!$AQ$7:$AQ$35)/10,0))</f>
        <v>0</v>
      </c>
      <c r="DX43" s="240">
        <f t="shared" si="22"/>
        <v>0</v>
      </c>
      <c r="DY43" s="36">
        <f t="shared" si="30"/>
        <v>16</v>
      </c>
      <c r="DZ43" s="36" t="str">
        <f t="shared" si="15"/>
        <v/>
      </c>
      <c r="EA43" s="55"/>
      <c r="EC43" s="248" t="s">
        <v>474</v>
      </c>
      <c r="ED43" s="43"/>
      <c r="EE43" s="36">
        <f t="shared" si="29"/>
        <v>3</v>
      </c>
    </row>
    <row r="44" spans="1:135" ht="11.25">
      <c r="A44" s="163" t="str">
        <f t="shared" si="39"/>
        <v>Fencing</v>
      </c>
      <c r="B44" s="168">
        <f t="shared" ca="1" si="40"/>
        <v>0</v>
      </c>
      <c r="C44" s="32" t="s">
        <v>351</v>
      </c>
      <c r="D44" s="34" t="s">
        <v>673</v>
      </c>
      <c r="E44" s="31">
        <v>1</v>
      </c>
      <c r="F44" s="31">
        <f t="shared" ca="1" si="41"/>
        <v>-1</v>
      </c>
      <c r="G44" s="34" t="s">
        <v>672</v>
      </c>
      <c r="H44" s="168">
        <f t="shared" ca="1" si="43"/>
        <v>2</v>
      </c>
      <c r="I44" s="168" t="str">
        <f t="shared" ca="1" si="44"/>
        <v/>
      </c>
      <c r="J44" s="154"/>
      <c r="K44" s="102">
        <v>1</v>
      </c>
      <c r="L44" s="31" t="s">
        <v>423</v>
      </c>
      <c r="M44" s="31"/>
      <c r="N44" s="31"/>
      <c r="O44" s="31" t="str">
        <f>IF(COUNTIF(qualities,"Massive")=0,"2h","Adaptable")</f>
        <v>2h</v>
      </c>
      <c r="P44" s="31"/>
      <c r="Q44" s="31"/>
      <c r="R44" s="31">
        <f ca="1">powerful</f>
        <v>0</v>
      </c>
      <c r="S44" s="31"/>
      <c r="T44" s="31"/>
      <c r="U44" s="31"/>
      <c r="V44" s="168" t="s">
        <v>430</v>
      </c>
      <c r="W44" s="36" t="s">
        <v>440</v>
      </c>
      <c r="X44" s="36">
        <v>3</v>
      </c>
      <c r="Y44" s="36">
        <f t="shared" ca="1" si="45"/>
        <v>7</v>
      </c>
      <c r="Z44" s="36"/>
      <c r="AA44" s="176" t="str">
        <f t="shared" si="42"/>
        <v xml:space="preserve">Bulk 1, Reach, 2h, Vicious, </v>
      </c>
      <c r="AB44" s="176" t="str">
        <f t="shared" si="46"/>
        <v>Bulk 1, Reach, 2h, Vicious</v>
      </c>
      <c r="AC44" s="176">
        <f t="shared" si="47"/>
        <v>0</v>
      </c>
      <c r="AD44" s="176">
        <f t="shared" si="48"/>
        <v>0</v>
      </c>
      <c r="AE44" s="176">
        <f>IF('Char Sheet p1'!B42=$AE$40,'Char Sheet p1'!P42,0)</f>
        <v>0</v>
      </c>
      <c r="AG44" s="32" t="s">
        <v>776</v>
      </c>
      <c r="AH44" s="34" t="s">
        <v>789</v>
      </c>
      <c r="AI44" s="34" t="s">
        <v>42</v>
      </c>
      <c r="AJ44" s="31"/>
      <c r="AK44" s="31"/>
      <c r="AL44" s="31" t="str">
        <f t="shared" si="31"/>
        <v/>
      </c>
      <c r="AM44" s="31">
        <f>N(status&gt;2)</f>
        <v>0</v>
      </c>
      <c r="AN44" s="31">
        <f t="shared" si="24"/>
        <v>43</v>
      </c>
      <c r="AO44" s="35" t="s">
        <v>43</v>
      </c>
      <c r="AP44" s="134"/>
      <c r="AQ44" s="47"/>
      <c r="AR44" s="134"/>
      <c r="AS44" s="47"/>
      <c r="AT44" s="134"/>
      <c r="AU44" s="47"/>
      <c r="AV44" s="134"/>
      <c r="AW44" s="47"/>
      <c r="AX44" s="134"/>
      <c r="AY44" s="47"/>
      <c r="AZ44" s="134"/>
      <c r="BA44" s="47"/>
      <c r="BB44" s="134"/>
      <c r="BC44" s="47"/>
      <c r="BD44" s="134"/>
      <c r="BE44" s="47"/>
      <c r="BF44" s="134"/>
      <c r="BG44" s="47"/>
      <c r="BH44" s="134"/>
      <c r="BI44" s="47"/>
      <c r="BJ44" s="134"/>
      <c r="BK44" s="47"/>
      <c r="BL44" s="134"/>
      <c r="BM44" s="47"/>
      <c r="BN44" s="134"/>
      <c r="BO44" s="47"/>
      <c r="BP44" s="134"/>
      <c r="BQ44" s="47"/>
      <c r="BR44" s="134"/>
      <c r="BS44" s="47"/>
      <c r="BT44" s="134"/>
      <c r="BU44" s="47"/>
      <c r="BV44" s="134"/>
      <c r="BW44" s="47"/>
      <c r="BX44" s="134"/>
      <c r="BY44" s="47"/>
      <c r="BZ44" s="134"/>
      <c r="CA44" s="47"/>
      <c r="CB44" s="120"/>
      <c r="CC44" s="120"/>
      <c r="CD44" s="120"/>
      <c r="CE44" s="120"/>
      <c r="CF44" s="120"/>
      <c r="CG44" s="120"/>
      <c r="CH44" s="120"/>
      <c r="CI44" s="120"/>
      <c r="CJ44" s="120"/>
      <c r="CK44" s="179" t="str">
        <f t="shared" si="1"/>
        <v/>
      </c>
      <c r="CL44" s="37" t="str">
        <f t="shared" ca="1" si="32"/>
        <v>Talented (Awareness)</v>
      </c>
      <c r="CM44" s="36" t="str">
        <f t="shared" si="16"/>
        <v/>
      </c>
      <c r="CN44" s="37" t="str">
        <f ca="1">IF($AN44&gt;CN$1,"",INDEX($AG$2:$AG$226,SMALL(CM$2:$CM$226,$AN44),1))</f>
        <v>Talented (Awareness)</v>
      </c>
      <c r="CO44" s="36" t="str">
        <f t="shared" si="17"/>
        <v/>
      </c>
      <c r="CP44" s="37" t="str">
        <f t="shared" ca="1" si="18"/>
        <v>Talented (Awareness)</v>
      </c>
      <c r="CS44" s="28" t="str">
        <f t="shared" si="3"/>
        <v/>
      </c>
      <c r="CT44" s="37" t="str">
        <f t="shared" ca="1" si="33"/>
        <v>Talented (Cunning)</v>
      </c>
      <c r="CU44" s="28" t="str">
        <f t="shared" si="3"/>
        <v/>
      </c>
      <c r="CV44" s="37" t="str">
        <f t="shared" ca="1" si="34"/>
        <v>Talented (Cunning)</v>
      </c>
      <c r="CW44" s="28" t="str">
        <f t="shared" si="6"/>
        <v/>
      </c>
      <c r="CX44" s="37" t="str">
        <f t="shared" ca="1" si="35"/>
        <v>Talented (Cunning)</v>
      </c>
      <c r="CY44" s="28" t="str">
        <f t="shared" si="8"/>
        <v/>
      </c>
      <c r="CZ44" s="37" t="str">
        <f t="shared" ca="1" si="35"/>
        <v>Talented (Cunning)</v>
      </c>
      <c r="DA44" s="28" t="str">
        <f t="shared" si="9"/>
        <v/>
      </c>
      <c r="DB44" s="37" t="str">
        <f t="shared" ca="1" si="36"/>
        <v>Talented (Cunning)</v>
      </c>
      <c r="DC44" s="28" t="str">
        <f t="shared" si="11"/>
        <v/>
      </c>
      <c r="DD44" s="37" t="str">
        <f t="shared" ca="1" si="37"/>
        <v>Talented (Cunning)</v>
      </c>
      <c r="DN44" s="32">
        <v>43</v>
      </c>
      <c r="DO44" s="34" t="s">
        <v>646</v>
      </c>
      <c r="DP44" s="38">
        <f t="shared" si="28"/>
        <v>0</v>
      </c>
      <c r="DQ44" s="173" t="str">
        <f t="shared" si="19"/>
        <v>(Anim) 0</v>
      </c>
      <c r="DR44" s="36" t="str">
        <f t="shared" si="20"/>
        <v/>
      </c>
      <c r="DS44" s="37" t="str">
        <f t="shared" si="21"/>
        <v>(Mark) Crossbows</v>
      </c>
      <c r="DT44" s="235" t="str">
        <f>CharGen!AD18</f>
        <v>Sneak</v>
      </c>
      <c r="DU44" s="236">
        <f>IF(DT44=0,0,CharGen!AC18)</f>
        <v>2</v>
      </c>
      <c r="DV44" s="154">
        <f t="shared" si="14"/>
        <v>0</v>
      </c>
      <c r="DW44" s="243">
        <f>IF(COUNTIF('Char Sheet p1'!$AP$7:$AP$35,DQ44)=0,0,ROUNDDOWN(SUMIF('Char Sheet p1'!$AP$7:$AP$35,DQ44,'Char Sheet p1'!$AQ$7:$AQ$35)/10,0))</f>
        <v>0</v>
      </c>
      <c r="DX44" s="240">
        <f t="shared" si="22"/>
        <v>0</v>
      </c>
      <c r="DY44" s="36">
        <f t="shared" si="30"/>
        <v>17</v>
      </c>
      <c r="DZ44" s="36" t="str">
        <f t="shared" si="15"/>
        <v/>
      </c>
      <c r="EA44" s="245">
        <v>1</v>
      </c>
      <c r="EB44" s="75" t="str">
        <f>DO366</f>
        <v>Survival</v>
      </c>
      <c r="EC44" s="246" t="str">
        <f>IF(EA44&gt;$EB$45,"",INDEX($DP$366:$DP$391,SMALL($DZ$366:$DZ$391,EA44),1))</f>
        <v>Forage</v>
      </c>
      <c r="ED44" s="247">
        <f t="shared" si="23"/>
        <v>1</v>
      </c>
      <c r="EE44" s="36">
        <f t="shared" si="29"/>
        <v>3</v>
      </c>
    </row>
    <row r="45" spans="1:135" ht="11.25">
      <c r="A45" s="138" t="str">
        <f t="shared" si="39"/>
        <v>Long Blades</v>
      </c>
      <c r="B45" s="168">
        <f t="shared" ca="1" si="40"/>
        <v>0</v>
      </c>
      <c r="C45" s="32" t="s">
        <v>352</v>
      </c>
      <c r="D45" s="34" t="s">
        <v>673</v>
      </c>
      <c r="E45" s="31"/>
      <c r="F45" s="31">
        <f t="shared" ca="1" si="41"/>
        <v>0</v>
      </c>
      <c r="G45" s="34" t="s">
        <v>672</v>
      </c>
      <c r="H45" s="168">
        <f t="shared" ca="1" si="43"/>
        <v>3</v>
      </c>
      <c r="I45" s="168" t="str">
        <f t="shared" ca="1" si="44"/>
        <v/>
      </c>
      <c r="J45" s="154"/>
      <c r="K45" s="102"/>
      <c r="L45" s="31"/>
      <c r="M45" s="31"/>
      <c r="N45" s="31" t="s">
        <v>426</v>
      </c>
      <c r="O45" s="31" t="str">
        <f>IF(COUNTIF(qualities,"Massive")=0,"2h","Adaptable")</f>
        <v>2h</v>
      </c>
      <c r="P45" s="31"/>
      <c r="Q45" s="31"/>
      <c r="R45" s="31">
        <f ca="1">powerful</f>
        <v>0</v>
      </c>
      <c r="S45" s="31"/>
      <c r="T45" s="31"/>
      <c r="U45" s="31"/>
      <c r="V45" s="168" t="s">
        <v>436</v>
      </c>
      <c r="W45" s="36" t="s">
        <v>440</v>
      </c>
      <c r="X45" s="36">
        <v>1</v>
      </c>
      <c r="Y45" s="36">
        <f t="shared" ca="1" si="45"/>
        <v>5</v>
      </c>
      <c r="Z45" s="36"/>
      <c r="AA45" s="176" t="str">
        <f t="shared" si="42"/>
        <v xml:space="preserve">Slow, 2h, </v>
      </c>
      <c r="AB45" s="176" t="str">
        <f t="shared" si="46"/>
        <v>Slow, 2h</v>
      </c>
      <c r="AC45" s="176">
        <f t="shared" si="47"/>
        <v>0</v>
      </c>
      <c r="AD45" s="176">
        <f t="shared" si="48"/>
        <v>0</v>
      </c>
      <c r="AE45" s="176">
        <f>IF('Char Sheet p1'!B43=$AE$40,'Char Sheet p1'!P43,0)</f>
        <v>0</v>
      </c>
      <c r="AG45" s="32" t="s">
        <v>44</v>
      </c>
      <c r="AH45" s="34" t="s">
        <v>881</v>
      </c>
      <c r="AI45" s="34" t="s">
        <v>28</v>
      </c>
      <c r="AJ45" s="31"/>
      <c r="AK45" s="31"/>
      <c r="AL45" s="31" t="str">
        <f t="shared" si="31"/>
        <v/>
      </c>
      <c r="AM45" s="31">
        <f t="shared" ref="AM45:AM51" si="49">COUNTIF(qualities,AI45)</f>
        <v>0</v>
      </c>
      <c r="AN45" s="31">
        <f t="shared" si="24"/>
        <v>44</v>
      </c>
      <c r="AO45" s="35" t="s">
        <v>51</v>
      </c>
      <c r="AP45" s="134"/>
      <c r="AQ45" s="47"/>
      <c r="AR45" s="134"/>
      <c r="AS45" s="47"/>
      <c r="AT45" s="134"/>
      <c r="AU45" s="47"/>
      <c r="AV45" s="134"/>
      <c r="AW45" s="47"/>
      <c r="AX45" s="134"/>
      <c r="AY45" s="47"/>
      <c r="AZ45" s="134"/>
      <c r="BA45" s="47"/>
      <c r="BB45" s="134"/>
      <c r="BC45" s="47"/>
      <c r="BD45" s="134"/>
      <c r="BE45" s="47"/>
      <c r="BF45" s="134"/>
      <c r="BG45" s="47"/>
      <c r="BH45" s="134"/>
      <c r="BI45" s="47"/>
      <c r="BJ45" s="134"/>
      <c r="BK45" s="47"/>
      <c r="BL45" s="134"/>
      <c r="BM45" s="47"/>
      <c r="BN45" s="134"/>
      <c r="BO45" s="47"/>
      <c r="BP45" s="134"/>
      <c r="BQ45" s="47"/>
      <c r="BR45" s="134"/>
      <c r="BS45" s="47"/>
      <c r="BT45" s="134"/>
      <c r="BU45" s="47"/>
      <c r="BV45" s="134"/>
      <c r="BW45" s="47"/>
      <c r="BX45" s="134"/>
      <c r="BY45" s="47"/>
      <c r="BZ45" s="134"/>
      <c r="CA45" s="47"/>
      <c r="CB45" s="120"/>
      <c r="CC45" s="120"/>
      <c r="CD45" s="120"/>
      <c r="CE45" s="120"/>
      <c r="CF45" s="120"/>
      <c r="CG45" s="120"/>
      <c r="CH45" s="120"/>
      <c r="CI45" s="120"/>
      <c r="CJ45" s="120"/>
      <c r="CK45" s="179" t="str">
        <f t="shared" si="1"/>
        <v/>
      </c>
      <c r="CL45" s="37" t="str">
        <f t="shared" ca="1" si="32"/>
        <v>Talented (Cunning)</v>
      </c>
      <c r="CM45" s="36" t="str">
        <f t="shared" si="16"/>
        <v/>
      </c>
      <c r="CN45" s="37" t="str">
        <f ca="1">IF($AN45&gt;CN$1,"",INDEX($AG$2:$AG$226,SMALL(CM$2:$CM$226,$AN45),1))</f>
        <v>Talented (Cunning)</v>
      </c>
      <c r="CO45" s="36" t="str">
        <f t="shared" si="17"/>
        <v/>
      </c>
      <c r="CP45" s="37" t="str">
        <f t="shared" ca="1" si="18"/>
        <v>Talented (Cunning)</v>
      </c>
      <c r="CS45" s="28" t="str">
        <f t="shared" si="3"/>
        <v/>
      </c>
      <c r="CT45" s="37" t="str">
        <f t="shared" ca="1" si="33"/>
        <v>Talented (Deception)</v>
      </c>
      <c r="CU45" s="28" t="str">
        <f t="shared" si="3"/>
        <v/>
      </c>
      <c r="CV45" s="37" t="str">
        <f t="shared" ca="1" si="34"/>
        <v>Talented (Deception)</v>
      </c>
      <c r="CW45" s="28" t="str">
        <f t="shared" si="6"/>
        <v/>
      </c>
      <c r="CX45" s="37" t="str">
        <f t="shared" ca="1" si="35"/>
        <v>Talented (Deception)</v>
      </c>
      <c r="CY45" s="28" t="str">
        <f t="shared" si="8"/>
        <v/>
      </c>
      <c r="CZ45" s="37" t="str">
        <f t="shared" ca="1" si="35"/>
        <v>Talented (Deception)</v>
      </c>
      <c r="DA45" s="28" t="str">
        <f t="shared" si="9"/>
        <v/>
      </c>
      <c r="DB45" s="37" t="str">
        <f t="shared" ca="1" si="36"/>
        <v>Talented (Deception)</v>
      </c>
      <c r="DC45" s="28" t="str">
        <f t="shared" si="11"/>
        <v/>
      </c>
      <c r="DD45" s="37" t="str">
        <f t="shared" ca="1" si="37"/>
        <v>Talented (Deception)</v>
      </c>
      <c r="DN45" s="32">
        <v>44</v>
      </c>
      <c r="DO45" s="34" t="s">
        <v>646</v>
      </c>
      <c r="DP45" s="38">
        <f t="shared" si="28"/>
        <v>0</v>
      </c>
      <c r="DQ45" s="173" t="str">
        <f t="shared" si="19"/>
        <v>(Anim) 0</v>
      </c>
      <c r="DR45" s="36" t="str">
        <f t="shared" si="20"/>
        <v/>
      </c>
      <c r="DS45" s="37" t="str">
        <f t="shared" si="21"/>
        <v>(Mark) Siege</v>
      </c>
      <c r="DT45" s="235">
        <f>CharGen!AD19</f>
        <v>0</v>
      </c>
      <c r="DU45" s="236">
        <f>IF(DT45=0,0,CharGen!AC19)</f>
        <v>0</v>
      </c>
      <c r="DV45" s="154">
        <f t="shared" si="14"/>
        <v>0</v>
      </c>
      <c r="DW45" s="243">
        <f>IF(COUNTIF('Char Sheet p1'!$AP$7:$AP$35,DQ45)=0,0,ROUNDDOWN(SUMIF('Char Sheet p1'!$AP$7:$AP$35,DQ45,'Char Sheet p1'!$AQ$7:$AQ$35)/10,0))</f>
        <v>0</v>
      </c>
      <c r="DX45" s="240">
        <f t="shared" si="22"/>
        <v>0</v>
      </c>
      <c r="DY45" s="36">
        <f t="shared" si="30"/>
        <v>18</v>
      </c>
      <c r="DZ45" s="36" t="str">
        <f t="shared" si="15"/>
        <v/>
      </c>
      <c r="EA45" s="36">
        <v>2</v>
      </c>
      <c r="EB45" s="78">
        <f>COUNT(DZ366:DZ391)</f>
        <v>1</v>
      </c>
      <c r="EC45" s="32" t="str">
        <f>IF(EA45&gt;$EB$45,"",INDEX($DP$366:$DP$391,SMALL($DZ$366:$DZ$391,EA45),1))</f>
        <v/>
      </c>
      <c r="ED45" s="39" t="str">
        <f t="shared" si="23"/>
        <v/>
      </c>
      <c r="EE45" s="36">
        <f t="shared" si="29"/>
        <v>3</v>
      </c>
    </row>
    <row r="46" spans="1:135">
      <c r="A46" s="138" t="str">
        <f t="shared" si="39"/>
        <v>Pole-Arms</v>
      </c>
      <c r="B46" s="168">
        <f t="shared" ca="1" si="40"/>
        <v>0</v>
      </c>
      <c r="C46" s="32" t="s">
        <v>353</v>
      </c>
      <c r="D46" s="34" t="s">
        <v>673</v>
      </c>
      <c r="E46" s="31"/>
      <c r="F46" s="31">
        <f t="shared" ca="1" si="41"/>
        <v>0</v>
      </c>
      <c r="G46" s="34" t="s">
        <v>672</v>
      </c>
      <c r="H46" s="168">
        <f t="shared" ca="1" si="43"/>
        <v>3</v>
      </c>
      <c r="I46" s="168" t="str">
        <f t="shared" ca="1" si="44"/>
        <v/>
      </c>
      <c r="J46" s="154"/>
      <c r="K46" s="102"/>
      <c r="L46" s="31"/>
      <c r="M46" s="31"/>
      <c r="N46" s="31"/>
      <c r="O46" s="31" t="str">
        <f>IF(COUNTIF(qualities,"Massive")=0,"2h","Adaptable")</f>
        <v>2h</v>
      </c>
      <c r="P46" s="31"/>
      <c r="Q46" s="31"/>
      <c r="R46" s="31"/>
      <c r="S46" s="31"/>
      <c r="T46" s="31"/>
      <c r="U46" s="31"/>
      <c r="V46" s="168" t="s">
        <v>436</v>
      </c>
      <c r="W46" s="36" t="s">
        <v>440</v>
      </c>
      <c r="X46" s="36">
        <v>1</v>
      </c>
      <c r="Y46" s="36">
        <f t="shared" ca="1" si="45"/>
        <v>5</v>
      </c>
      <c r="Z46" s="36"/>
      <c r="AA46" s="176" t="str">
        <f t="shared" si="42"/>
        <v xml:space="preserve">2h, </v>
      </c>
      <c r="AB46" s="176" t="str">
        <f t="shared" si="46"/>
        <v>2h</v>
      </c>
      <c r="AC46" s="176">
        <f t="shared" si="47"/>
        <v>0</v>
      </c>
      <c r="AD46" s="176">
        <f t="shared" si="48"/>
        <v>0</v>
      </c>
      <c r="AE46" s="176">
        <f>IF('Char Sheet p1'!B44=$AE$40,'Char Sheet p1'!P44,0)</f>
        <v>0</v>
      </c>
      <c r="AG46" s="32" t="s">
        <v>45</v>
      </c>
      <c r="AH46" s="34" t="s">
        <v>881</v>
      </c>
      <c r="AI46" s="34" t="s">
        <v>29</v>
      </c>
      <c r="AJ46" s="31"/>
      <c r="AK46" s="31"/>
      <c r="AL46" s="31" t="str">
        <f t="shared" si="31"/>
        <v/>
      </c>
      <c r="AM46" s="31">
        <f t="shared" si="49"/>
        <v>0</v>
      </c>
      <c r="AN46" s="31">
        <f t="shared" si="24"/>
        <v>45</v>
      </c>
      <c r="AO46" s="35" t="s">
        <v>52</v>
      </c>
      <c r="AP46" s="134"/>
      <c r="AQ46" s="47"/>
      <c r="AR46" s="134"/>
      <c r="AS46" s="47"/>
      <c r="AT46" s="134"/>
      <c r="AU46" s="47"/>
      <c r="AV46" s="134"/>
      <c r="AW46" s="47"/>
      <c r="AX46" s="134"/>
      <c r="AY46" s="47"/>
      <c r="AZ46" s="134"/>
      <c r="BA46" s="47"/>
      <c r="BB46" s="134"/>
      <c r="BC46" s="47"/>
      <c r="BD46" s="134"/>
      <c r="BE46" s="47"/>
      <c r="BF46" s="134"/>
      <c r="BG46" s="47"/>
      <c r="BH46" s="134"/>
      <c r="BI46" s="47"/>
      <c r="BJ46" s="134"/>
      <c r="BK46" s="47"/>
      <c r="BL46" s="134"/>
      <c r="BM46" s="47"/>
      <c r="BN46" s="134"/>
      <c r="BO46" s="47"/>
      <c r="BP46" s="134"/>
      <c r="BQ46" s="47"/>
      <c r="BR46" s="134"/>
      <c r="BS46" s="47"/>
      <c r="BT46" s="134"/>
      <c r="BU46" s="47"/>
      <c r="BV46" s="134"/>
      <c r="BW46" s="47"/>
      <c r="BX46" s="134"/>
      <c r="BY46" s="47"/>
      <c r="BZ46" s="134"/>
      <c r="CA46" s="47"/>
      <c r="CB46" s="120"/>
      <c r="CC46" s="120"/>
      <c r="CD46" s="120"/>
      <c r="CE46" s="120"/>
      <c r="CF46" s="120"/>
      <c r="CG46" s="120"/>
      <c r="CH46" s="120"/>
      <c r="CI46" s="120"/>
      <c r="CJ46" s="120"/>
      <c r="CK46" s="179" t="str">
        <f t="shared" si="1"/>
        <v/>
      </c>
      <c r="CL46" s="37" t="str">
        <f t="shared" ca="1" si="32"/>
        <v>Talented (Deception)</v>
      </c>
      <c r="CM46" s="36" t="str">
        <f t="shared" si="16"/>
        <v/>
      </c>
      <c r="CN46" s="37" t="str">
        <f ca="1">IF($AN46&gt;CN$1,"",INDEX($AG$2:$AG$226,SMALL(CM$2:$CM$226,$AN46),1))</f>
        <v>Talented (Deception)</v>
      </c>
      <c r="CO46" s="36" t="str">
        <f t="shared" si="17"/>
        <v/>
      </c>
      <c r="CP46" s="37" t="str">
        <f t="shared" ca="1" si="18"/>
        <v>Talented (Deception)</v>
      </c>
      <c r="CS46" s="28" t="str">
        <f t="shared" si="3"/>
        <v/>
      </c>
      <c r="CT46" s="37" t="str">
        <f t="shared" ca="1" si="33"/>
        <v>Talented (Endurance)</v>
      </c>
      <c r="CU46" s="28" t="str">
        <f t="shared" si="3"/>
        <v/>
      </c>
      <c r="CV46" s="37" t="str">
        <f t="shared" ca="1" si="34"/>
        <v>Talented (Endurance)</v>
      </c>
      <c r="CW46" s="28" t="str">
        <f t="shared" si="6"/>
        <v/>
      </c>
      <c r="CX46" s="37" t="str">
        <f t="shared" ca="1" si="35"/>
        <v>Talented (Endurance)</v>
      </c>
      <c r="CY46" s="28" t="str">
        <f t="shared" si="8"/>
        <v/>
      </c>
      <c r="CZ46" s="37" t="str">
        <f t="shared" ca="1" si="35"/>
        <v>Talented (Endurance)</v>
      </c>
      <c r="DA46" s="28" t="str">
        <f t="shared" si="9"/>
        <v/>
      </c>
      <c r="DB46" s="37" t="str">
        <f t="shared" ca="1" si="36"/>
        <v>Talented (Endurance)</v>
      </c>
      <c r="DC46" s="28" t="str">
        <f t="shared" si="11"/>
        <v/>
      </c>
      <c r="DD46" s="37" t="str">
        <f t="shared" ca="1" si="37"/>
        <v>Talented (Endurance)</v>
      </c>
      <c r="DN46" s="32">
        <v>45</v>
      </c>
      <c r="DO46" s="34" t="s">
        <v>646</v>
      </c>
      <c r="DP46" s="38">
        <f t="shared" si="28"/>
        <v>0</v>
      </c>
      <c r="DQ46" s="173" t="str">
        <f t="shared" si="19"/>
        <v>(Anim) 0</v>
      </c>
      <c r="DR46" s="36" t="str">
        <f t="shared" si="20"/>
        <v/>
      </c>
      <c r="DS46" s="37" t="str">
        <f t="shared" si="21"/>
        <v>(Mark) Thrown</v>
      </c>
      <c r="DT46" s="235">
        <f>CharGen!AD20</f>
        <v>0</v>
      </c>
      <c r="DU46" s="236">
        <f>IF(DT46=0,0,CharGen!AC20)</f>
        <v>0</v>
      </c>
      <c r="DV46" s="154">
        <f t="shared" si="14"/>
        <v>0</v>
      </c>
      <c r="DW46" s="243">
        <f>IF(COUNTIF('Char Sheet p1'!$AP$7:$AP$35,DQ46)=0,0,ROUNDDOWN(SUMIF('Char Sheet p1'!$AP$7:$AP$35,DQ46,'Char Sheet p1'!$AQ$7:$AQ$35)/10,0))</f>
        <v>0</v>
      </c>
      <c r="DX46" s="240">
        <f t="shared" si="22"/>
        <v>0</v>
      </c>
      <c r="DY46" s="36">
        <f t="shared" si="30"/>
        <v>19</v>
      </c>
      <c r="DZ46" s="36" t="str">
        <f t="shared" si="15"/>
        <v/>
      </c>
      <c r="EA46" s="55">
        <v>3</v>
      </c>
      <c r="EC46" s="41" t="str">
        <f>IF(EA46&gt;$EB$45,"",INDEX($DP$366:$DP$391,SMALL($DZ$366:$DZ$391,EA46),1))</f>
        <v/>
      </c>
      <c r="ED46" s="43" t="str">
        <f t="shared" si="23"/>
        <v/>
      </c>
      <c r="EE46" s="36">
        <f t="shared" si="29"/>
        <v>3</v>
      </c>
    </row>
    <row r="47" spans="1:135" ht="11.25">
      <c r="A47" s="138" t="str">
        <f t="shared" si="39"/>
        <v>Shields</v>
      </c>
      <c r="B47" s="168">
        <f t="shared" ca="1" si="40"/>
        <v>0</v>
      </c>
      <c r="C47" s="32" t="s">
        <v>354</v>
      </c>
      <c r="D47" s="34" t="s">
        <v>674</v>
      </c>
      <c r="E47" s="31">
        <v>1</v>
      </c>
      <c r="F47" s="31">
        <f t="shared" ca="1" si="41"/>
        <v>-1</v>
      </c>
      <c r="G47" s="34" t="s">
        <v>672</v>
      </c>
      <c r="H47" s="168">
        <f t="shared" ca="1" si="43"/>
        <v>2</v>
      </c>
      <c r="I47" s="168" t="str">
        <f t="shared" ca="1" si="44"/>
        <v/>
      </c>
      <c r="J47" s="154"/>
      <c r="K47" s="102"/>
      <c r="L47" s="31"/>
      <c r="M47" s="31"/>
      <c r="N47" s="31"/>
      <c r="O47" s="31"/>
      <c r="P47" s="31"/>
      <c r="Q47" s="31"/>
      <c r="R47" s="31">
        <f ca="1">powerful</f>
        <v>0</v>
      </c>
      <c r="S47" s="31"/>
      <c r="T47" s="31">
        <f>1+COUNTIF(qualities,$AG$23)</f>
        <v>1</v>
      </c>
      <c r="U47" s="31"/>
      <c r="V47" s="168" t="s">
        <v>436</v>
      </c>
      <c r="W47" s="36" t="s">
        <v>440</v>
      </c>
      <c r="X47" s="36"/>
      <c r="Y47" s="36">
        <f t="shared" ca="1" si="45"/>
        <v>4</v>
      </c>
      <c r="Z47" s="36"/>
      <c r="AA47" s="176" t="str">
        <f t="shared" si="42"/>
        <v xml:space="preserve">Shatter 1, </v>
      </c>
      <c r="AB47" s="176" t="str">
        <f t="shared" si="46"/>
        <v>Shatter 1</v>
      </c>
      <c r="AC47" s="176">
        <f t="shared" si="47"/>
        <v>0</v>
      </c>
      <c r="AD47" s="176">
        <f t="shared" si="48"/>
        <v>0</v>
      </c>
      <c r="AE47" s="176">
        <f>IF('Char Sheet p1'!B45=$AE$40,'Char Sheet p1'!P45,0)</f>
        <v>0</v>
      </c>
      <c r="AG47" s="32" t="s">
        <v>46</v>
      </c>
      <c r="AH47" s="34" t="s">
        <v>881</v>
      </c>
      <c r="AI47" s="34" t="s">
        <v>30</v>
      </c>
      <c r="AJ47" s="31"/>
      <c r="AK47" s="31"/>
      <c r="AL47" s="31" t="str">
        <f t="shared" si="31"/>
        <v/>
      </c>
      <c r="AM47" s="31">
        <f t="shared" si="49"/>
        <v>0</v>
      </c>
      <c r="AN47" s="31">
        <f t="shared" si="24"/>
        <v>46</v>
      </c>
      <c r="AO47" s="35" t="s">
        <v>53</v>
      </c>
      <c r="AP47" s="134"/>
      <c r="AQ47" s="47"/>
      <c r="AR47" s="134"/>
      <c r="AS47" s="47"/>
      <c r="AT47" s="134"/>
      <c r="AU47" s="47"/>
      <c r="AV47" s="134"/>
      <c r="AW47" s="47"/>
      <c r="AX47" s="134"/>
      <c r="AY47" s="47"/>
      <c r="AZ47" s="134"/>
      <c r="BA47" s="47"/>
      <c r="BB47" s="134"/>
      <c r="BC47" s="47"/>
      <c r="BD47" s="134"/>
      <c r="BE47" s="47"/>
      <c r="BF47" s="134"/>
      <c r="BG47" s="47"/>
      <c r="BH47" s="134"/>
      <c r="BI47" s="47"/>
      <c r="BJ47" s="134"/>
      <c r="BK47" s="47"/>
      <c r="BL47" s="134"/>
      <c r="BM47" s="47"/>
      <c r="BN47" s="134"/>
      <c r="BO47" s="47"/>
      <c r="BP47" s="134"/>
      <c r="BQ47" s="47"/>
      <c r="BR47" s="134"/>
      <c r="BS47" s="47"/>
      <c r="BT47" s="134"/>
      <c r="BU47" s="47"/>
      <c r="BV47" s="134"/>
      <c r="BW47" s="47"/>
      <c r="BX47" s="134"/>
      <c r="BY47" s="47"/>
      <c r="BZ47" s="134"/>
      <c r="CA47" s="47"/>
      <c r="CB47" s="120"/>
      <c r="CC47" s="120"/>
      <c r="CD47" s="120"/>
      <c r="CE47" s="120"/>
      <c r="CF47" s="120"/>
      <c r="CG47" s="120"/>
      <c r="CH47" s="120"/>
      <c r="CI47" s="120"/>
      <c r="CJ47" s="120"/>
      <c r="CK47" s="179" t="str">
        <f t="shared" si="1"/>
        <v/>
      </c>
      <c r="CL47" s="37" t="str">
        <f t="shared" ca="1" si="32"/>
        <v>Talented (Endurance)</v>
      </c>
      <c r="CM47" s="36" t="str">
        <f t="shared" si="16"/>
        <v/>
      </c>
      <c r="CN47" s="37" t="str">
        <f ca="1">IF($AN47&gt;CN$1,"",INDEX($AG$2:$AG$226,SMALL(CM$2:$CM$226,$AN47),1))</f>
        <v>Talented (Endurance)</v>
      </c>
      <c r="CO47" s="36" t="str">
        <f t="shared" si="17"/>
        <v/>
      </c>
      <c r="CP47" s="37" t="str">
        <f t="shared" ca="1" si="18"/>
        <v>Talented (Endurance)</v>
      </c>
      <c r="CS47" s="28" t="str">
        <f t="shared" si="3"/>
        <v/>
      </c>
      <c r="CT47" s="37" t="str">
        <f t="shared" ca="1" si="33"/>
        <v>Talented (Fighting)</v>
      </c>
      <c r="CU47" s="28" t="str">
        <f t="shared" si="3"/>
        <v/>
      </c>
      <c r="CV47" s="37" t="str">
        <f t="shared" ca="1" si="34"/>
        <v>Talented (Fighting)</v>
      </c>
      <c r="CW47" s="28" t="str">
        <f t="shared" si="6"/>
        <v/>
      </c>
      <c r="CX47" s="37" t="str">
        <f t="shared" ca="1" si="35"/>
        <v>Talented (Fighting)</v>
      </c>
      <c r="CY47" s="28" t="str">
        <f t="shared" si="8"/>
        <v/>
      </c>
      <c r="CZ47" s="37" t="str">
        <f t="shared" ca="1" si="35"/>
        <v>Talented (Fighting)</v>
      </c>
      <c r="DA47" s="28" t="str">
        <f t="shared" si="9"/>
        <v/>
      </c>
      <c r="DB47" s="37" t="str">
        <f t="shared" ca="1" si="36"/>
        <v>Talented (Fighting)</v>
      </c>
      <c r="DC47" s="28" t="str">
        <f t="shared" si="11"/>
        <v/>
      </c>
      <c r="DD47" s="37" t="str">
        <f t="shared" ca="1" si="37"/>
        <v>Talented (Fighting)</v>
      </c>
      <c r="DN47" s="32">
        <v>46</v>
      </c>
      <c r="DO47" s="34" t="s">
        <v>646</v>
      </c>
      <c r="DP47" s="38">
        <f t="shared" si="28"/>
        <v>0</v>
      </c>
      <c r="DQ47" s="173" t="str">
        <f t="shared" si="19"/>
        <v>(Anim) 0</v>
      </c>
      <c r="DR47" s="36" t="str">
        <f t="shared" si="20"/>
        <v/>
      </c>
      <c r="DS47" s="37" t="str">
        <f t="shared" si="21"/>
        <v>(Mark) Target Shooting</v>
      </c>
      <c r="DT47" s="235" t="str">
        <f>CharGen!AD21</f>
        <v>Forage</v>
      </c>
      <c r="DU47" s="236">
        <f>IF(DT47=0,0,CharGen!AC21)</f>
        <v>1</v>
      </c>
      <c r="DV47" s="154">
        <f t="shared" si="14"/>
        <v>0</v>
      </c>
      <c r="DW47" s="243">
        <f>IF(COUNTIF('Char Sheet p1'!$AP$7:$AP$35,DQ47)=0,0,ROUNDDOWN(SUMIF('Char Sheet p1'!$AP$7:$AP$35,DQ47,'Char Sheet p1'!$AQ$7:$AQ$35)/10,0))</f>
        <v>0</v>
      </c>
      <c r="DX47" s="240">
        <f t="shared" si="22"/>
        <v>0</v>
      </c>
      <c r="DY47" s="36">
        <f t="shared" si="30"/>
        <v>20</v>
      </c>
      <c r="DZ47" s="36" t="str">
        <f t="shared" si="15"/>
        <v/>
      </c>
      <c r="EA47" s="245">
        <v>1</v>
      </c>
      <c r="EB47" s="75" t="str">
        <f>DO392</f>
        <v>Thievery</v>
      </c>
      <c r="EC47" s="246" t="str">
        <f>IF(EA47&gt;$EB$48,"",INDEX($DP$392:$DP$417,SMALL($DZ$392:$DZ$417,EA47),1))</f>
        <v>Steal</v>
      </c>
      <c r="ED47" s="247">
        <f t="shared" si="23"/>
        <v>1</v>
      </c>
      <c r="EE47" s="36">
        <f t="shared" si="29"/>
        <v>3</v>
      </c>
    </row>
    <row r="48" spans="1:135" ht="11.25">
      <c r="A48" s="138" t="str">
        <f t="shared" si="39"/>
        <v>Short Blades</v>
      </c>
      <c r="B48" s="168">
        <f t="shared" ca="1" si="40"/>
        <v>0</v>
      </c>
      <c r="C48" s="32" t="s">
        <v>355</v>
      </c>
      <c r="D48" s="34" t="s">
        <v>674</v>
      </c>
      <c r="E48" s="31"/>
      <c r="F48" s="31">
        <f t="shared" ca="1" si="41"/>
        <v>0</v>
      </c>
      <c r="G48" s="34" t="s">
        <v>672</v>
      </c>
      <c r="H48" s="168">
        <f t="shared" ca="1" si="43"/>
        <v>3</v>
      </c>
      <c r="I48" s="168" t="str">
        <f t="shared" ca="1" si="44"/>
        <v/>
      </c>
      <c r="J48" s="154"/>
      <c r="K48" s="102"/>
      <c r="L48" s="31"/>
      <c r="M48" s="31"/>
      <c r="N48" s="31"/>
      <c r="O48" s="31"/>
      <c r="P48" s="31">
        <v>1</v>
      </c>
      <c r="Q48" s="31"/>
      <c r="R48" s="31"/>
      <c r="S48" s="31"/>
      <c r="T48" s="31">
        <f>COUNTIF(qualities,$AG$23)</f>
        <v>0</v>
      </c>
      <c r="U48" s="31"/>
      <c r="V48" s="168" t="s">
        <v>436</v>
      </c>
      <c r="W48" s="36" t="s">
        <v>440</v>
      </c>
      <c r="X48" s="36">
        <v>-1</v>
      </c>
      <c r="Y48" s="36">
        <f t="shared" ca="1" si="45"/>
        <v>3</v>
      </c>
      <c r="Z48" s="36"/>
      <c r="AA48" s="176" t="str">
        <f t="shared" si="42"/>
        <v xml:space="preserve">Off-hand+1, </v>
      </c>
      <c r="AB48" s="176" t="str">
        <f t="shared" si="46"/>
        <v>Off-hand+1</v>
      </c>
      <c r="AC48" s="176">
        <f t="shared" si="47"/>
        <v>0</v>
      </c>
      <c r="AD48" s="176">
        <f t="shared" si="48"/>
        <v>0</v>
      </c>
      <c r="AE48" s="176">
        <f>IF('Char Sheet p1'!B46=$AE$40,'Char Sheet p1'!P46,0)</f>
        <v>0</v>
      </c>
      <c r="AG48" s="32" t="s">
        <v>47</v>
      </c>
      <c r="AH48" s="34" t="s">
        <v>881</v>
      </c>
      <c r="AI48" s="34" t="s">
        <v>31</v>
      </c>
      <c r="AJ48" s="31"/>
      <c r="AK48" s="31"/>
      <c r="AL48" s="31" t="str">
        <f t="shared" si="31"/>
        <v/>
      </c>
      <c r="AM48" s="31">
        <f t="shared" si="49"/>
        <v>0</v>
      </c>
      <c r="AN48" s="31">
        <f t="shared" si="24"/>
        <v>47</v>
      </c>
      <c r="AO48" s="35" t="s">
        <v>54</v>
      </c>
      <c r="AP48" s="134"/>
      <c r="AQ48" s="47"/>
      <c r="AR48" s="134"/>
      <c r="AS48" s="47"/>
      <c r="AT48" s="134"/>
      <c r="AU48" s="47"/>
      <c r="AV48" s="134"/>
      <c r="AW48" s="47"/>
      <c r="AX48" s="134"/>
      <c r="AY48" s="47"/>
      <c r="AZ48" s="134"/>
      <c r="BA48" s="47"/>
      <c r="BB48" s="134"/>
      <c r="BC48" s="47"/>
      <c r="BD48" s="134"/>
      <c r="BE48" s="47"/>
      <c r="BF48" s="134"/>
      <c r="BG48" s="47"/>
      <c r="BH48" s="134"/>
      <c r="BI48" s="47"/>
      <c r="BJ48" s="134"/>
      <c r="BK48" s="47"/>
      <c r="BL48" s="134"/>
      <c r="BM48" s="47"/>
      <c r="BN48" s="134"/>
      <c r="BO48" s="47"/>
      <c r="BP48" s="134"/>
      <c r="BQ48" s="47"/>
      <c r="BR48" s="134"/>
      <c r="BS48" s="47"/>
      <c r="BT48" s="134"/>
      <c r="BU48" s="47"/>
      <c r="BV48" s="134"/>
      <c r="BW48" s="47"/>
      <c r="BX48" s="134"/>
      <c r="BY48" s="47"/>
      <c r="BZ48" s="134"/>
      <c r="CA48" s="47"/>
      <c r="CB48" s="120"/>
      <c r="CC48" s="120"/>
      <c r="CD48" s="120"/>
      <c r="CE48" s="120"/>
      <c r="CF48" s="120"/>
      <c r="CG48" s="120"/>
      <c r="CH48" s="120"/>
      <c r="CI48" s="120"/>
      <c r="CJ48" s="120"/>
      <c r="CK48" s="179" t="str">
        <f t="shared" si="1"/>
        <v/>
      </c>
      <c r="CL48" s="37" t="str">
        <f t="shared" ca="1" si="32"/>
        <v>Talented (Fighting)</v>
      </c>
      <c r="CM48" s="36" t="str">
        <f t="shared" si="16"/>
        <v/>
      </c>
      <c r="CN48" s="37" t="str">
        <f ca="1">IF($AN48&gt;CN$1,"",INDEX($AG$2:$AG$226,SMALL(CM$2:$CM$226,$AN48),1))</f>
        <v>Talented (Fighting)</v>
      </c>
      <c r="CO48" s="36" t="str">
        <f t="shared" si="17"/>
        <v/>
      </c>
      <c r="CP48" s="37" t="str">
        <f t="shared" ca="1" si="18"/>
        <v>Talented (Fighting)</v>
      </c>
      <c r="CS48" s="28" t="str">
        <f t="shared" si="3"/>
        <v/>
      </c>
      <c r="CT48" s="37" t="str">
        <f t="shared" ca="1" si="33"/>
        <v>Talented (Healing)</v>
      </c>
      <c r="CU48" s="28" t="str">
        <f t="shared" si="3"/>
        <v/>
      </c>
      <c r="CV48" s="37" t="str">
        <f t="shared" ca="1" si="34"/>
        <v>Talented (Healing)</v>
      </c>
      <c r="CW48" s="28" t="str">
        <f t="shared" si="6"/>
        <v/>
      </c>
      <c r="CX48" s="37" t="str">
        <f t="shared" ca="1" si="35"/>
        <v>Talented (Healing)</v>
      </c>
      <c r="CY48" s="28" t="str">
        <f t="shared" si="8"/>
        <v/>
      </c>
      <c r="CZ48" s="37" t="str">
        <f t="shared" ca="1" si="35"/>
        <v>Talented (Healing)</v>
      </c>
      <c r="DA48" s="28" t="str">
        <f t="shared" si="9"/>
        <v/>
      </c>
      <c r="DB48" s="37" t="str">
        <f t="shared" ca="1" si="36"/>
        <v>Talented (Healing)</v>
      </c>
      <c r="DC48" s="28" t="str">
        <f t="shared" si="11"/>
        <v/>
      </c>
      <c r="DD48" s="37" t="str">
        <f t="shared" ca="1" si="37"/>
        <v>Talented (Healing)</v>
      </c>
      <c r="DN48" s="32">
        <v>47</v>
      </c>
      <c r="DO48" s="34" t="s">
        <v>646</v>
      </c>
      <c r="DP48" s="38">
        <f t="shared" si="28"/>
        <v>0</v>
      </c>
      <c r="DQ48" s="173" t="str">
        <f t="shared" si="19"/>
        <v>(Anim) 0</v>
      </c>
      <c r="DR48" s="36" t="str">
        <f t="shared" si="20"/>
        <v/>
      </c>
      <c r="DS48" s="37" t="str">
        <f t="shared" si="21"/>
        <v>(Pers) Bargain</v>
      </c>
      <c r="DT48" s="235">
        <f>CharGen!AD22</f>
        <v>0</v>
      </c>
      <c r="DU48" s="236">
        <f>IF(DT48=0,0,CharGen!AC22)</f>
        <v>0</v>
      </c>
      <c r="DV48" s="154">
        <f t="shared" si="14"/>
        <v>0</v>
      </c>
      <c r="DW48" s="243">
        <f>IF(COUNTIF('Char Sheet p1'!$AP$7:$AP$35,DQ48)=0,0,ROUNDDOWN(SUMIF('Char Sheet p1'!$AP$7:$AP$35,DQ48,'Char Sheet p1'!$AQ$7:$AQ$35)/10,0))</f>
        <v>0</v>
      </c>
      <c r="DX48" s="240">
        <f t="shared" si="22"/>
        <v>0</v>
      </c>
      <c r="DY48" s="36">
        <f t="shared" si="30"/>
        <v>21</v>
      </c>
      <c r="DZ48" s="36" t="str">
        <f t="shared" si="15"/>
        <v/>
      </c>
      <c r="EA48" s="36">
        <v>2</v>
      </c>
      <c r="EB48" s="78">
        <f>COUNT(DZ392:DZ417)</f>
        <v>1</v>
      </c>
      <c r="EC48" s="32" t="str">
        <f>IF(EA48&gt;$EB$48,"",INDEX($DP$392:$DP$417,SMALL($DZ$392:$DZ$417,EA48),1))</f>
        <v/>
      </c>
      <c r="ED48" s="39" t="str">
        <f t="shared" si="23"/>
        <v/>
      </c>
      <c r="EE48" s="36">
        <f t="shared" si="29"/>
        <v>3</v>
      </c>
    </row>
    <row r="49" spans="1:135">
      <c r="A49" s="138" t="str">
        <f t="shared" si="39"/>
        <v>Spears</v>
      </c>
      <c r="B49" s="168">
        <f t="shared" ca="1" si="40"/>
        <v>1</v>
      </c>
      <c r="C49" s="32" t="s">
        <v>356</v>
      </c>
      <c r="D49" s="34" t="s">
        <v>674</v>
      </c>
      <c r="E49" s="31">
        <v>2</v>
      </c>
      <c r="F49" s="31">
        <f t="shared" ca="1" si="41"/>
        <v>-2</v>
      </c>
      <c r="G49" s="34" t="s">
        <v>672</v>
      </c>
      <c r="H49" s="168">
        <f t="shared" ca="1" si="43"/>
        <v>1</v>
      </c>
      <c r="I49" s="168" t="str">
        <f t="shared" ca="1" si="44"/>
        <v/>
      </c>
      <c r="J49" s="154"/>
      <c r="K49" s="102"/>
      <c r="L49" s="31"/>
      <c r="M49" s="31"/>
      <c r="N49" s="31"/>
      <c r="O49" s="31" t="str">
        <f>IF(COUNTIF(qualities,"Massive")=0,"2h","Adaptable")</f>
        <v>2h</v>
      </c>
      <c r="P49" s="31"/>
      <c r="Q49" s="31"/>
      <c r="R49" s="31">
        <f ca="1">powerful</f>
        <v>0</v>
      </c>
      <c r="S49" s="31"/>
      <c r="T49" s="31">
        <f>1+COUNTIF(qualities,$AG$23)</f>
        <v>1</v>
      </c>
      <c r="U49" s="31"/>
      <c r="V49" s="168" t="s">
        <v>436</v>
      </c>
      <c r="W49" s="36" t="s">
        <v>440</v>
      </c>
      <c r="X49" s="36">
        <v>3</v>
      </c>
      <c r="Y49" s="36">
        <f t="shared" ca="1" si="45"/>
        <v>7</v>
      </c>
      <c r="Z49" s="36"/>
      <c r="AA49" s="176" t="str">
        <f t="shared" si="42"/>
        <v xml:space="preserve">2h, Shatter 1, </v>
      </c>
      <c r="AB49" s="176" t="str">
        <f t="shared" si="46"/>
        <v>2h, Shatter 1</v>
      </c>
      <c r="AC49" s="176">
        <f t="shared" si="47"/>
        <v>0</v>
      </c>
      <c r="AD49" s="176">
        <f t="shared" si="48"/>
        <v>0</v>
      </c>
      <c r="AE49" s="176">
        <f>IF('Char Sheet p1'!B48=$AE$40,'Char Sheet p1'!P48,0)</f>
        <v>0</v>
      </c>
      <c r="AG49" s="32" t="s">
        <v>48</v>
      </c>
      <c r="AH49" s="34" t="s">
        <v>881</v>
      </c>
      <c r="AI49" s="34" t="s">
        <v>32</v>
      </c>
      <c r="AJ49" s="31"/>
      <c r="AK49" s="31"/>
      <c r="AL49" s="31" t="str">
        <f t="shared" si="31"/>
        <v/>
      </c>
      <c r="AM49" s="31">
        <f t="shared" si="49"/>
        <v>0</v>
      </c>
      <c r="AN49" s="31">
        <f t="shared" si="24"/>
        <v>48</v>
      </c>
      <c r="AO49" s="35" t="s">
        <v>55</v>
      </c>
      <c r="AP49" s="134"/>
      <c r="AQ49" s="47"/>
      <c r="AR49" s="134"/>
      <c r="AS49" s="47"/>
      <c r="AT49" s="134"/>
      <c r="AU49" s="47"/>
      <c r="AV49" s="134"/>
      <c r="AW49" s="47"/>
      <c r="AX49" s="134"/>
      <c r="AY49" s="47"/>
      <c r="AZ49" s="134"/>
      <c r="BA49" s="47"/>
      <c r="BB49" s="134"/>
      <c r="BC49" s="47"/>
      <c r="BD49" s="134"/>
      <c r="BE49" s="47"/>
      <c r="BF49" s="134"/>
      <c r="BG49" s="47"/>
      <c r="BH49" s="134"/>
      <c r="BI49" s="47"/>
      <c r="BJ49" s="134"/>
      <c r="BK49" s="47"/>
      <c r="BL49" s="134"/>
      <c r="BM49" s="47"/>
      <c r="BN49" s="134"/>
      <c r="BO49" s="47"/>
      <c r="BP49" s="134"/>
      <c r="BQ49" s="47"/>
      <c r="BR49" s="134"/>
      <c r="BS49" s="47"/>
      <c r="BT49" s="134"/>
      <c r="BU49" s="47"/>
      <c r="BV49" s="134"/>
      <c r="BW49" s="47"/>
      <c r="BX49" s="134"/>
      <c r="BY49" s="47"/>
      <c r="BZ49" s="134"/>
      <c r="CA49" s="47"/>
      <c r="CB49" s="120"/>
      <c r="CC49" s="120"/>
      <c r="CD49" s="120"/>
      <c r="CE49" s="120"/>
      <c r="CF49" s="120"/>
      <c r="CG49" s="120"/>
      <c r="CH49" s="120"/>
      <c r="CI49" s="120"/>
      <c r="CJ49" s="120"/>
      <c r="CK49" s="179" t="str">
        <f t="shared" si="1"/>
        <v/>
      </c>
      <c r="CL49" s="37" t="str">
        <f t="shared" ca="1" si="32"/>
        <v>Talented (Healing)</v>
      </c>
      <c r="CM49" s="36" t="str">
        <f t="shared" si="16"/>
        <v/>
      </c>
      <c r="CN49" s="37" t="str">
        <f ca="1">IF($AN49&gt;CN$1,"",INDEX($AG$2:$AG$226,SMALL(CM$2:$CM$226,$AN49),1))</f>
        <v>Talented (Healing)</v>
      </c>
      <c r="CO49" s="36" t="str">
        <f t="shared" si="17"/>
        <v/>
      </c>
      <c r="CP49" s="37" t="str">
        <f t="shared" ca="1" si="18"/>
        <v>Talented (Healing)</v>
      </c>
      <c r="CS49" s="28" t="str">
        <f t="shared" si="3"/>
        <v/>
      </c>
      <c r="CT49" s="37" t="str">
        <f t="shared" ca="1" si="33"/>
        <v>Talented (Knowledge)</v>
      </c>
      <c r="CU49" s="28" t="str">
        <f t="shared" si="3"/>
        <v/>
      </c>
      <c r="CV49" s="37" t="str">
        <f t="shared" ca="1" si="34"/>
        <v>Talented (Knowledge)</v>
      </c>
      <c r="CW49" s="28" t="str">
        <f t="shared" si="6"/>
        <v/>
      </c>
      <c r="CX49" s="37" t="str">
        <f t="shared" ca="1" si="35"/>
        <v>Talented (Knowledge)</v>
      </c>
      <c r="CY49" s="28" t="str">
        <f t="shared" si="8"/>
        <v/>
      </c>
      <c r="CZ49" s="37" t="str">
        <f t="shared" ca="1" si="35"/>
        <v>Talented (Knowledge)</v>
      </c>
      <c r="DA49" s="28" t="str">
        <f t="shared" si="9"/>
        <v/>
      </c>
      <c r="DB49" s="37" t="str">
        <f t="shared" ca="1" si="36"/>
        <v>Talented (Knowledge)</v>
      </c>
      <c r="DC49" s="28" t="str">
        <f t="shared" si="11"/>
        <v/>
      </c>
      <c r="DD49" s="37" t="str">
        <f t="shared" ca="1" si="37"/>
        <v>Talented (Knowledge)</v>
      </c>
      <c r="DN49" s="32">
        <v>48</v>
      </c>
      <c r="DO49" s="34" t="s">
        <v>646</v>
      </c>
      <c r="DP49" s="38">
        <f t="shared" si="28"/>
        <v>0</v>
      </c>
      <c r="DQ49" s="173" t="str">
        <f t="shared" si="19"/>
        <v>(Anim) 0</v>
      </c>
      <c r="DR49" s="36" t="str">
        <f t="shared" si="20"/>
        <v/>
      </c>
      <c r="DS49" s="37" t="str">
        <f t="shared" si="21"/>
        <v>(Pers) Charm</v>
      </c>
      <c r="DT49" s="235">
        <f>CharGen!AD23</f>
        <v>0</v>
      </c>
      <c r="DU49" s="236">
        <f>IF(DT49=0,0,CharGen!AC23)</f>
        <v>0</v>
      </c>
      <c r="DV49" s="154">
        <f t="shared" si="14"/>
        <v>0</v>
      </c>
      <c r="DW49" s="243">
        <f>IF(COUNTIF('Char Sheet p1'!$AP$7:$AP$35,DQ49)=0,0,ROUNDDOWN(SUMIF('Char Sheet p1'!$AP$7:$AP$35,DQ49,'Char Sheet p1'!$AQ$7:$AQ$35)/10,0))</f>
        <v>0</v>
      </c>
      <c r="DX49" s="240">
        <f t="shared" si="22"/>
        <v>0</v>
      </c>
      <c r="DY49" s="36">
        <f t="shared" si="30"/>
        <v>22</v>
      </c>
      <c r="DZ49" s="36" t="str">
        <f t="shared" si="15"/>
        <v/>
      </c>
      <c r="EA49" s="55">
        <v>3</v>
      </c>
      <c r="EC49" s="41" t="str">
        <f>IF(EA49&gt;$EB$48,"",INDEX($DP$392:$DP$417,SMALL($DZ$392:$DZ$417,EA49),1))</f>
        <v/>
      </c>
      <c r="ED49" s="43" t="str">
        <f t="shared" si="23"/>
        <v/>
      </c>
      <c r="EE49" s="36">
        <f t="shared" si="29"/>
        <v>3</v>
      </c>
    </row>
    <row r="50" spans="1:135" ht="11.25">
      <c r="A50" s="138">
        <f t="shared" si="39"/>
        <v>0</v>
      </c>
      <c r="B50" s="168">
        <f t="shared" si="40"/>
        <v>0</v>
      </c>
      <c r="C50" s="32" t="s">
        <v>357</v>
      </c>
      <c r="D50" s="34" t="s">
        <v>674</v>
      </c>
      <c r="E50" s="31"/>
      <c r="F50" s="31">
        <f t="shared" ca="1" si="41"/>
        <v>0</v>
      </c>
      <c r="G50" s="34" t="s">
        <v>672</v>
      </c>
      <c r="H50" s="168">
        <f t="shared" ca="1" si="43"/>
        <v>3</v>
      </c>
      <c r="I50" s="168" t="str">
        <f t="shared" ca="1" si="44"/>
        <v/>
      </c>
      <c r="J50" s="154"/>
      <c r="K50" s="102"/>
      <c r="L50" s="31"/>
      <c r="M50" s="31"/>
      <c r="N50" s="31"/>
      <c r="O50" s="31"/>
      <c r="P50" s="31">
        <v>1</v>
      </c>
      <c r="Q50" s="31"/>
      <c r="R50" s="31"/>
      <c r="S50" s="31"/>
      <c r="T50" s="31">
        <f>COUNTIF(qualities,$AG$23)</f>
        <v>0</v>
      </c>
      <c r="U50" s="31"/>
      <c r="V50" s="168" t="s">
        <v>436</v>
      </c>
      <c r="W50" s="36" t="s">
        <v>440</v>
      </c>
      <c r="X50" s="36"/>
      <c r="Y50" s="36">
        <f t="shared" ca="1" si="45"/>
        <v>4</v>
      </c>
      <c r="Z50" s="36"/>
      <c r="AA50" s="176" t="str">
        <f t="shared" si="42"/>
        <v xml:space="preserve">Off-hand+1, </v>
      </c>
      <c r="AB50" s="176" t="str">
        <f t="shared" si="46"/>
        <v>Off-hand+1</v>
      </c>
      <c r="AC50" s="176">
        <f t="shared" si="47"/>
        <v>0</v>
      </c>
      <c r="AD50" s="176">
        <f t="shared" si="48"/>
        <v>0</v>
      </c>
      <c r="AE50" s="177">
        <f>IF('Char Sheet p1'!B49=$AE$40,'Char Sheet p1'!P49,0)</f>
        <v>0</v>
      </c>
      <c r="AG50" s="32" t="s">
        <v>49</v>
      </c>
      <c r="AH50" s="34" t="s">
        <v>881</v>
      </c>
      <c r="AI50" s="34" t="s">
        <v>33</v>
      </c>
      <c r="AJ50" s="31"/>
      <c r="AK50" s="31"/>
      <c r="AL50" s="31" t="str">
        <f t="shared" si="31"/>
        <v/>
      </c>
      <c r="AM50" s="31">
        <f t="shared" si="49"/>
        <v>0</v>
      </c>
      <c r="AN50" s="31">
        <f t="shared" si="24"/>
        <v>49</v>
      </c>
      <c r="AO50" s="35" t="s">
        <v>56</v>
      </c>
      <c r="AP50" s="134"/>
      <c r="AQ50" s="47"/>
      <c r="AR50" s="134"/>
      <c r="AS50" s="47"/>
      <c r="AT50" s="134"/>
      <c r="AU50" s="47"/>
      <c r="AV50" s="134"/>
      <c r="AW50" s="47"/>
      <c r="AX50" s="134"/>
      <c r="AY50" s="47"/>
      <c r="AZ50" s="134"/>
      <c r="BA50" s="47"/>
      <c r="BB50" s="134"/>
      <c r="BC50" s="47"/>
      <c r="BD50" s="134"/>
      <c r="BE50" s="47"/>
      <c r="BF50" s="134"/>
      <c r="BG50" s="47"/>
      <c r="BH50" s="134"/>
      <c r="BI50" s="47"/>
      <c r="BJ50" s="134"/>
      <c r="BK50" s="47"/>
      <c r="BL50" s="134"/>
      <c r="BM50" s="47"/>
      <c r="BN50" s="134"/>
      <c r="BO50" s="47"/>
      <c r="BP50" s="134"/>
      <c r="BQ50" s="47"/>
      <c r="BR50" s="134"/>
      <c r="BS50" s="47"/>
      <c r="BT50" s="134"/>
      <c r="BU50" s="47"/>
      <c r="BV50" s="134"/>
      <c r="BW50" s="47"/>
      <c r="BX50" s="134"/>
      <c r="BY50" s="47"/>
      <c r="BZ50" s="134"/>
      <c r="CA50" s="47"/>
      <c r="CB50" s="120"/>
      <c r="CC50" s="120"/>
      <c r="CD50" s="120"/>
      <c r="CE50" s="120"/>
      <c r="CF50" s="120"/>
      <c r="CG50" s="120"/>
      <c r="CH50" s="120"/>
      <c r="CI50" s="120"/>
      <c r="CJ50" s="120"/>
      <c r="CK50" s="179" t="str">
        <f t="shared" si="1"/>
        <v/>
      </c>
      <c r="CL50" s="37" t="str">
        <f t="shared" ca="1" si="32"/>
        <v>Talented (Knowledge)</v>
      </c>
      <c r="CM50" s="36" t="str">
        <f t="shared" si="16"/>
        <v/>
      </c>
      <c r="CN50" s="37" t="str">
        <f ca="1">IF($AN50&gt;CN$1,"",INDEX($AG$2:$AG$226,SMALL(CM$2:$CM$226,$AN50),1))</f>
        <v>Talented (Knowledge)</v>
      </c>
      <c r="CO50" s="36" t="str">
        <f t="shared" si="17"/>
        <v/>
      </c>
      <c r="CP50" s="37" t="str">
        <f t="shared" ca="1" si="18"/>
        <v>Talented (Knowledge)</v>
      </c>
      <c r="CS50" s="28" t="str">
        <f t="shared" si="3"/>
        <v/>
      </c>
      <c r="CT50" s="37" t="str">
        <f t="shared" ca="1" si="33"/>
        <v>Talented (Language)</v>
      </c>
      <c r="CU50" s="28" t="str">
        <f t="shared" si="3"/>
        <v/>
      </c>
      <c r="CV50" s="37" t="str">
        <f t="shared" ca="1" si="34"/>
        <v>Talented (Language)</v>
      </c>
      <c r="CW50" s="28" t="str">
        <f t="shared" si="6"/>
        <v/>
      </c>
      <c r="CX50" s="37" t="str">
        <f t="shared" ca="1" si="35"/>
        <v>Talented (Language)</v>
      </c>
      <c r="CY50" s="28" t="str">
        <f t="shared" si="8"/>
        <v/>
      </c>
      <c r="CZ50" s="37" t="str">
        <f t="shared" ca="1" si="35"/>
        <v>Talented (Language)</v>
      </c>
      <c r="DA50" s="28" t="str">
        <f t="shared" si="9"/>
        <v/>
      </c>
      <c r="DB50" s="37" t="str">
        <f t="shared" ca="1" si="36"/>
        <v>Talented (Language)</v>
      </c>
      <c r="DC50" s="28" t="str">
        <f t="shared" si="11"/>
        <v/>
      </c>
      <c r="DD50" s="37" t="str">
        <f t="shared" ca="1" si="37"/>
        <v>Talented (Language)</v>
      </c>
      <c r="DN50" s="32">
        <v>49</v>
      </c>
      <c r="DO50" s="34" t="s">
        <v>646</v>
      </c>
      <c r="DP50" s="38">
        <f t="shared" si="28"/>
        <v>0</v>
      </c>
      <c r="DQ50" s="173" t="str">
        <f t="shared" si="19"/>
        <v>(Anim) 0</v>
      </c>
      <c r="DR50" s="36" t="str">
        <f t="shared" si="20"/>
        <v/>
      </c>
      <c r="DS50" s="37" t="str">
        <f t="shared" si="21"/>
        <v>(Pers) Convince</v>
      </c>
      <c r="DT50" s="235" t="str">
        <f>CharGen!AD24</f>
        <v>Steal</v>
      </c>
      <c r="DU50" s="236">
        <f>IF(DT50=0,0,CharGen!AC24)</f>
        <v>1</v>
      </c>
      <c r="DV50" s="154">
        <f t="shared" si="14"/>
        <v>0</v>
      </c>
      <c r="DW50" s="243">
        <f>IF(COUNTIF('Char Sheet p1'!$AP$7:$AP$35,DQ50)=0,0,ROUNDDOWN(SUMIF('Char Sheet p1'!$AP$7:$AP$35,DQ50,'Char Sheet p1'!$AQ$7:$AQ$35)/10,0))</f>
        <v>0</v>
      </c>
      <c r="DX50" s="240">
        <f t="shared" si="22"/>
        <v>0</v>
      </c>
      <c r="DY50" s="36">
        <f t="shared" si="30"/>
        <v>23</v>
      </c>
      <c r="DZ50" s="36" t="str">
        <f t="shared" si="15"/>
        <v/>
      </c>
      <c r="EA50" s="245">
        <v>1</v>
      </c>
      <c r="EB50" s="75" t="str">
        <f>DO418</f>
        <v>Warfare</v>
      </c>
      <c r="EC50" s="246" t="str">
        <f>IF(EA50&gt;$EB$51,"",INDEX($DP$418:$DP$443,SMALL($DZ$418:$DZ$443,EA50),1))</f>
        <v/>
      </c>
      <c r="ED50" s="247" t="str">
        <f t="shared" si="23"/>
        <v/>
      </c>
      <c r="EE50" s="36">
        <f t="shared" si="29"/>
        <v>3</v>
      </c>
    </row>
    <row r="51" spans="1:135" ht="11.25">
      <c r="A51" s="138">
        <f t="shared" si="39"/>
        <v>0</v>
      </c>
      <c r="B51" s="168">
        <f t="shared" si="40"/>
        <v>0</v>
      </c>
      <c r="C51" s="32" t="s">
        <v>358</v>
      </c>
      <c r="D51" s="34" t="s">
        <v>674</v>
      </c>
      <c r="E51" s="31"/>
      <c r="F51" s="31">
        <f t="shared" ca="1" si="41"/>
        <v>0</v>
      </c>
      <c r="G51" s="34" t="s">
        <v>672</v>
      </c>
      <c r="H51" s="168">
        <f t="shared" ca="1" si="43"/>
        <v>3</v>
      </c>
      <c r="I51" s="168" t="str">
        <f t="shared" ca="1" si="44"/>
        <v/>
      </c>
      <c r="J51" s="154"/>
      <c r="K51" s="102">
        <v>1</v>
      </c>
      <c r="L51" s="31"/>
      <c r="M51" s="31"/>
      <c r="N51" s="31" t="s">
        <v>426</v>
      </c>
      <c r="O51" s="31" t="str">
        <f>IF(COUNTIF(qualities,"Massive")=0,"2h","Adaptable")</f>
        <v>2h</v>
      </c>
      <c r="P51" s="31"/>
      <c r="Q51" s="31"/>
      <c r="R51" s="31"/>
      <c r="S51" s="31"/>
      <c r="T51" s="31">
        <f>1+COUNTIF(qualities,$AG$23)</f>
        <v>1</v>
      </c>
      <c r="U51" s="31"/>
      <c r="V51" s="168" t="s">
        <v>427</v>
      </c>
      <c r="W51" s="36" t="s">
        <v>440</v>
      </c>
      <c r="X51" s="36">
        <v>1</v>
      </c>
      <c r="Y51" s="36">
        <f t="shared" ca="1" si="45"/>
        <v>5</v>
      </c>
      <c r="Z51" s="36"/>
      <c r="AA51" s="176" t="str">
        <f t="shared" si="42"/>
        <v xml:space="preserve">Bulk 1, Slow, 2h, Shatter 1, Staggering, </v>
      </c>
      <c r="AB51" s="176" t="str">
        <f t="shared" si="46"/>
        <v>Bulk 1, Slow, 2h, Shatter 1, Staggering</v>
      </c>
      <c r="AC51" s="176">
        <f t="shared" si="47"/>
        <v>0</v>
      </c>
      <c r="AD51" s="176">
        <f t="shared" si="48"/>
        <v>0</v>
      </c>
      <c r="AE51" s="21" t="s">
        <v>445</v>
      </c>
      <c r="AG51" s="32" t="s">
        <v>50</v>
      </c>
      <c r="AH51" s="34" t="s">
        <v>881</v>
      </c>
      <c r="AI51" s="34" t="s">
        <v>34</v>
      </c>
      <c r="AJ51" s="31"/>
      <c r="AK51" s="31"/>
      <c r="AL51" s="31" t="str">
        <f t="shared" si="31"/>
        <v/>
      </c>
      <c r="AM51" s="31">
        <f t="shared" si="49"/>
        <v>0</v>
      </c>
      <c r="AN51" s="31">
        <f t="shared" si="24"/>
        <v>50</v>
      </c>
      <c r="AO51" s="35" t="s">
        <v>57</v>
      </c>
      <c r="AP51" s="134"/>
      <c r="AQ51" s="47"/>
      <c r="AR51" s="134"/>
      <c r="AS51" s="47"/>
      <c r="AT51" s="134"/>
      <c r="AU51" s="47"/>
      <c r="AV51" s="134"/>
      <c r="AW51" s="47"/>
      <c r="AX51" s="134"/>
      <c r="AY51" s="47"/>
      <c r="AZ51" s="134"/>
      <c r="BA51" s="47"/>
      <c r="BB51" s="134"/>
      <c r="BC51" s="47"/>
      <c r="BD51" s="134"/>
      <c r="BE51" s="47"/>
      <c r="BF51" s="134"/>
      <c r="BG51" s="47"/>
      <c r="BH51" s="134"/>
      <c r="BI51" s="47"/>
      <c r="BJ51" s="134"/>
      <c r="BK51" s="47"/>
      <c r="BL51" s="134"/>
      <c r="BM51" s="47"/>
      <c r="BN51" s="134"/>
      <c r="BO51" s="47"/>
      <c r="BP51" s="134"/>
      <c r="BQ51" s="47"/>
      <c r="BR51" s="134"/>
      <c r="BS51" s="47"/>
      <c r="BT51" s="134"/>
      <c r="BU51" s="47"/>
      <c r="BV51" s="134"/>
      <c r="BW51" s="47"/>
      <c r="BX51" s="134"/>
      <c r="BY51" s="47"/>
      <c r="BZ51" s="134"/>
      <c r="CA51" s="47"/>
      <c r="CB51" s="120"/>
      <c r="CC51" s="120"/>
      <c r="CD51" s="120"/>
      <c r="CE51" s="120"/>
      <c r="CF51" s="120"/>
      <c r="CG51" s="120"/>
      <c r="CH51" s="120"/>
      <c r="CI51" s="120"/>
      <c r="CJ51" s="120"/>
      <c r="CK51" s="179" t="str">
        <f t="shared" si="1"/>
        <v/>
      </c>
      <c r="CL51" s="37" t="str">
        <f t="shared" ca="1" si="32"/>
        <v>Talented (Language)</v>
      </c>
      <c r="CM51" s="36" t="str">
        <f t="shared" si="16"/>
        <v/>
      </c>
      <c r="CN51" s="37" t="str">
        <f ca="1">IF($AN51&gt;CN$1,"",INDEX($AG$2:$AG$226,SMALL(CM$2:$CM$226,$AN51),1))</f>
        <v>Talented (Language)</v>
      </c>
      <c r="CO51" s="36" t="str">
        <f t="shared" si="17"/>
        <v/>
      </c>
      <c r="CP51" s="37" t="str">
        <f t="shared" ca="1" si="18"/>
        <v>Talented (Language)</v>
      </c>
      <c r="CS51" s="28" t="str">
        <f t="shared" si="3"/>
        <v/>
      </c>
      <c r="CT51" s="37" t="str">
        <f t="shared" ca="1" si="33"/>
        <v>Talented (Markmanship)</v>
      </c>
      <c r="CU51" s="28" t="str">
        <f t="shared" si="3"/>
        <v/>
      </c>
      <c r="CV51" s="37" t="str">
        <f t="shared" ca="1" si="34"/>
        <v>Talented (Markmanship)</v>
      </c>
      <c r="CW51" s="28" t="str">
        <f t="shared" si="6"/>
        <v/>
      </c>
      <c r="CX51" s="37" t="str">
        <f t="shared" ca="1" si="35"/>
        <v>Talented (Markmanship)</v>
      </c>
      <c r="CY51" s="28" t="str">
        <f t="shared" si="8"/>
        <v/>
      </c>
      <c r="CZ51" s="37" t="str">
        <f t="shared" ca="1" si="35"/>
        <v>Talented (Markmanship)</v>
      </c>
      <c r="DA51" s="28" t="str">
        <f t="shared" si="9"/>
        <v/>
      </c>
      <c r="DB51" s="37" t="str">
        <f t="shared" ca="1" si="36"/>
        <v>Talented (Markmanship)</v>
      </c>
      <c r="DC51" s="28" t="str">
        <f t="shared" si="11"/>
        <v/>
      </c>
      <c r="DD51" s="37" t="str">
        <f t="shared" ca="1" si="37"/>
        <v>Talented (Markmanship)</v>
      </c>
      <c r="DN51" s="32">
        <v>50</v>
      </c>
      <c r="DO51" s="34" t="s">
        <v>646</v>
      </c>
      <c r="DP51" s="38">
        <f t="shared" si="28"/>
        <v>0</v>
      </c>
      <c r="DQ51" s="173" t="str">
        <f t="shared" si="19"/>
        <v>(Anim) 0</v>
      </c>
      <c r="DR51" s="36" t="str">
        <f t="shared" si="20"/>
        <v/>
      </c>
      <c r="DS51" s="37" t="str">
        <f t="shared" si="21"/>
        <v>(Pers) Incite</v>
      </c>
      <c r="DT51" s="235">
        <f>CharGen!AD25</f>
        <v>0</v>
      </c>
      <c r="DU51" s="236">
        <f>IF(DT51=0,0,CharGen!AC25)</f>
        <v>0</v>
      </c>
      <c r="DV51" s="154">
        <f t="shared" si="14"/>
        <v>0</v>
      </c>
      <c r="DW51" s="243">
        <f>IF(COUNTIF('Char Sheet p1'!$AP$7:$AP$35,DQ51)=0,0,ROUNDDOWN(SUMIF('Char Sheet p1'!$AP$7:$AP$35,DQ51,'Char Sheet p1'!$AQ$7:$AQ$35)/10,0))</f>
        <v>0</v>
      </c>
      <c r="DX51" s="240">
        <f t="shared" si="22"/>
        <v>0</v>
      </c>
      <c r="DY51" s="36">
        <f t="shared" si="30"/>
        <v>24</v>
      </c>
      <c r="DZ51" s="36" t="str">
        <f t="shared" si="15"/>
        <v/>
      </c>
      <c r="EA51" s="36">
        <v>2</v>
      </c>
      <c r="EB51" s="78">
        <f>COUNT(DZ418:DZ443)</f>
        <v>0</v>
      </c>
      <c r="EC51" s="32" t="str">
        <f>IF(EA51&gt;$EB$51,"",INDEX($DP$418:$DP$443,SMALL($DZ$418:$DZ$443,EA51),1))</f>
        <v/>
      </c>
      <c r="ED51" s="39" t="str">
        <f t="shared" si="23"/>
        <v/>
      </c>
      <c r="EE51" s="36">
        <f t="shared" si="29"/>
        <v>3</v>
      </c>
    </row>
    <row r="52" spans="1:135">
      <c r="A52" s="138">
        <f t="shared" si="39"/>
        <v>0</v>
      </c>
      <c r="B52" s="168">
        <f t="shared" si="40"/>
        <v>0</v>
      </c>
      <c r="C52" s="32" t="s">
        <v>359</v>
      </c>
      <c r="D52" s="34" t="s">
        <v>674</v>
      </c>
      <c r="E52" s="31"/>
      <c r="F52" s="31">
        <f t="shared" ca="1" si="41"/>
        <v>0</v>
      </c>
      <c r="G52" s="34" t="s">
        <v>672</v>
      </c>
      <c r="H52" s="168">
        <f t="shared" ca="1" si="43"/>
        <v>3</v>
      </c>
      <c r="I52" s="168" t="str">
        <f t="shared" ca="1" si="44"/>
        <v/>
      </c>
      <c r="J52" s="154"/>
      <c r="K52" s="102"/>
      <c r="L52" s="31"/>
      <c r="M52" s="31"/>
      <c r="N52" s="31"/>
      <c r="O52" s="31" t="str">
        <f>IF(COUNTIF(qualities,"Massive")=0,"2h","Adaptable")</f>
        <v>2h</v>
      </c>
      <c r="P52" s="31"/>
      <c r="Q52" s="31"/>
      <c r="R52" s="31"/>
      <c r="S52" s="31"/>
      <c r="T52" s="31">
        <f>1+COUNTIF(qualities,$AG$23)</f>
        <v>1</v>
      </c>
      <c r="U52" s="31"/>
      <c r="V52" s="168" t="s">
        <v>430</v>
      </c>
      <c r="W52" s="36" t="s">
        <v>440</v>
      </c>
      <c r="X52" s="36"/>
      <c r="Y52" s="36">
        <f t="shared" ca="1" si="45"/>
        <v>4</v>
      </c>
      <c r="Z52" s="36"/>
      <c r="AA52" s="176" t="str">
        <f t="shared" ref="AA52:AA98" si="50">IF(K52=0,"","Bulk "&amp;K52&amp;", ")&amp;IF(L52="","",L52&amp;", ")&amp;IF(M52=0,"","Def+"&amp;M52&amp;", ")&amp;IF(N52="","",N52&amp;", ")&amp;IF(O52="","",O52&amp;", ")&amp;IF(P52=0,"","Off-hand+"&amp;P52&amp;", ")&amp;IF(Q52=0,"","Pierce "&amp;Q52&amp;", ")&amp;IF(S52="","","Reload "&amp;S52&amp;", ")&amp;IF(T52=0,"","Shatter "&amp;T52&amp;", ")&amp;IF(U52="","",U52&amp;", ")&amp;IF(V52="","",V52&amp;", ")</f>
        <v xml:space="preserve">2h, Shatter 1, Vicious, </v>
      </c>
      <c r="AB52" s="176" t="str">
        <f t="shared" si="46"/>
        <v>2h, Shatter 1, Vicious</v>
      </c>
      <c r="AC52" s="176">
        <f t="shared" si="47"/>
        <v>0</v>
      </c>
      <c r="AD52" s="176">
        <f t="shared" si="48"/>
        <v>0</v>
      </c>
      <c r="AE52" s="175">
        <f>IF('Char Sheet p1'!B38=$AE$51,'Char Sheet p1'!P38,0)</f>
        <v>0</v>
      </c>
      <c r="AG52" s="32" t="s">
        <v>753</v>
      </c>
      <c r="AH52" s="34" t="s">
        <v>773</v>
      </c>
      <c r="AI52" s="34" t="s">
        <v>790</v>
      </c>
      <c r="AJ52" s="31" t="s">
        <v>970</v>
      </c>
      <c r="AK52" s="31"/>
      <c r="AL52" s="31" t="str">
        <f t="shared" si="31"/>
        <v/>
      </c>
      <c r="AM52" s="31">
        <f ca="1">N(SUMIF(knospec,"Streetwise",knospecval)&gt;0)</f>
        <v>0</v>
      </c>
      <c r="AN52" s="31">
        <f t="shared" si="24"/>
        <v>51</v>
      </c>
      <c r="AO52" s="35" t="s">
        <v>807</v>
      </c>
      <c r="AP52" s="134"/>
      <c r="AQ52" s="47"/>
      <c r="AR52" s="134"/>
      <c r="AS52" s="47"/>
      <c r="AT52" s="134"/>
      <c r="AU52" s="47"/>
      <c r="AV52" s="134"/>
      <c r="AW52" s="47"/>
      <c r="AX52" s="134"/>
      <c r="AY52" s="47"/>
      <c r="AZ52" s="134"/>
      <c r="BA52" s="47"/>
      <c r="BB52" s="134"/>
      <c r="BC52" s="47"/>
      <c r="BD52" s="134"/>
      <c r="BE52" s="47"/>
      <c r="BF52" s="134"/>
      <c r="BG52" s="47"/>
      <c r="BH52" s="134"/>
      <c r="BI52" s="47"/>
      <c r="BJ52" s="134"/>
      <c r="BK52" s="47"/>
      <c r="BL52" s="134"/>
      <c r="BM52" s="47"/>
      <c r="BN52" s="134"/>
      <c r="BO52" s="47"/>
      <c r="BP52" s="134"/>
      <c r="BQ52" s="47"/>
      <c r="BR52" s="134"/>
      <c r="BS52" s="47"/>
      <c r="BT52" s="134"/>
      <c r="BU52" s="47"/>
      <c r="BV52" s="134"/>
      <c r="BW52" s="47"/>
      <c r="BX52" s="134"/>
      <c r="BY52" s="47"/>
      <c r="BZ52" s="134"/>
      <c r="CA52" s="47"/>
      <c r="CB52" s="120"/>
      <c r="CC52" s="120"/>
      <c r="CD52" s="120"/>
      <c r="CE52" s="120"/>
      <c r="CF52" s="120"/>
      <c r="CG52" s="120"/>
      <c r="CH52" s="120"/>
      <c r="CI52" s="120"/>
      <c r="CJ52" s="120"/>
      <c r="CK52" s="179" t="str">
        <f t="shared" ca="1" si="1"/>
        <v/>
      </c>
      <c r="CL52" s="37" t="str">
        <f t="shared" ca="1" si="32"/>
        <v>Talented (Markmanship)</v>
      </c>
      <c r="CM52" s="36" t="str">
        <f t="shared" ca="1" si="16"/>
        <v/>
      </c>
      <c r="CN52" s="37" t="str">
        <f ca="1">IF($AN52&gt;CN$1,"",INDEX($AG$2:$AG$226,SMALL(CM$2:$CM$226,$AN52),1))</f>
        <v>Talented (Markmanship)</v>
      </c>
      <c r="CO52" s="36" t="str">
        <f t="shared" ca="1" si="17"/>
        <v/>
      </c>
      <c r="CP52" s="37" t="str">
        <f t="shared" ca="1" si="18"/>
        <v>Talented (Markmanship)</v>
      </c>
      <c r="CS52" s="28" t="str">
        <f t="shared" ca="1" si="3"/>
        <v/>
      </c>
      <c r="CT52" s="37" t="str">
        <f t="shared" ca="1" si="33"/>
        <v>Talented (Persuasion)</v>
      </c>
      <c r="CU52" s="28" t="str">
        <f t="shared" ca="1" si="3"/>
        <v/>
      </c>
      <c r="CV52" s="37" t="str">
        <f t="shared" ca="1" si="34"/>
        <v>Talented (Persuasion)</v>
      </c>
      <c r="CW52" s="28" t="str">
        <f t="shared" ca="1" si="6"/>
        <v/>
      </c>
      <c r="CX52" s="37" t="str">
        <f t="shared" ca="1" si="35"/>
        <v>Talented (Persuasion)</v>
      </c>
      <c r="CY52" s="28" t="str">
        <f t="shared" ca="1" si="8"/>
        <v/>
      </c>
      <c r="CZ52" s="37" t="str">
        <f t="shared" ca="1" si="35"/>
        <v>Talented (Persuasion)</v>
      </c>
      <c r="DA52" s="28" t="str">
        <f t="shared" ca="1" si="9"/>
        <v/>
      </c>
      <c r="DB52" s="37" t="str">
        <f t="shared" ca="1" si="36"/>
        <v>Talented (Persuasion)</v>
      </c>
      <c r="DC52" s="28" t="str">
        <f t="shared" ca="1" si="11"/>
        <v/>
      </c>
      <c r="DD52" s="37" t="str">
        <f t="shared" ca="1" si="37"/>
        <v>Talented (Persuasion)</v>
      </c>
      <c r="DN52" s="32">
        <v>51</v>
      </c>
      <c r="DO52" s="34" t="s">
        <v>646</v>
      </c>
      <c r="DP52" s="38">
        <f t="shared" si="28"/>
        <v>0</v>
      </c>
      <c r="DQ52" s="173" t="str">
        <f t="shared" si="19"/>
        <v>(Anim) 0</v>
      </c>
      <c r="DR52" s="36" t="str">
        <f t="shared" si="20"/>
        <v/>
      </c>
      <c r="DS52" s="37" t="str">
        <f t="shared" si="21"/>
        <v>(Pers) Intimidate</v>
      </c>
      <c r="DT52" s="235">
        <f>CharGen!AD26</f>
        <v>0</v>
      </c>
      <c r="DU52" s="236">
        <f>IF(DT52=0,0,CharGen!AC26)</f>
        <v>0</v>
      </c>
      <c r="DV52" s="154">
        <f t="shared" si="14"/>
        <v>0</v>
      </c>
      <c r="DW52" s="243">
        <f>IF(COUNTIF('Char Sheet p1'!$AP$7:$AP$35,DQ52)=0,0,ROUNDDOWN(SUMIF('Char Sheet p1'!$AP$7:$AP$35,DQ52,'Char Sheet p1'!$AQ$7:$AQ$35)/10,0))</f>
        <v>0</v>
      </c>
      <c r="DX52" s="240">
        <f t="shared" si="22"/>
        <v>0</v>
      </c>
      <c r="DY52" s="36">
        <f t="shared" si="30"/>
        <v>25</v>
      </c>
      <c r="DZ52" s="36" t="str">
        <f t="shared" si="15"/>
        <v/>
      </c>
      <c r="EA52" s="55">
        <v>3</v>
      </c>
      <c r="EC52" s="41" t="str">
        <f>IF(EA52&gt;$EB$51,"",INDEX($DP$418:$DP$443,SMALL($DZ$418:$DZ$443,EA52),1))</f>
        <v/>
      </c>
      <c r="ED52" s="43" t="str">
        <f t="shared" si="23"/>
        <v/>
      </c>
      <c r="EE52" s="36">
        <f t="shared" si="29"/>
        <v>3</v>
      </c>
    </row>
    <row r="53" spans="1:135" ht="11.25">
      <c r="A53" s="138">
        <f t="shared" si="39"/>
        <v>0</v>
      </c>
      <c r="B53" s="168">
        <f t="shared" si="40"/>
        <v>0</v>
      </c>
      <c r="C53" s="32" t="s">
        <v>360</v>
      </c>
      <c r="D53" s="34" t="s">
        <v>674</v>
      </c>
      <c r="E53" s="31"/>
      <c r="F53" s="31">
        <f t="shared" ca="1" si="41"/>
        <v>0</v>
      </c>
      <c r="G53" s="34" t="s">
        <v>672</v>
      </c>
      <c r="H53" s="168">
        <f t="shared" ca="1" si="43"/>
        <v>3</v>
      </c>
      <c r="I53" s="168" t="str">
        <f t="shared" ca="1" si="44"/>
        <v/>
      </c>
      <c r="J53" s="154"/>
      <c r="K53" s="102"/>
      <c r="L53" s="31"/>
      <c r="M53" s="31"/>
      <c r="N53" s="31" t="s">
        <v>848</v>
      </c>
      <c r="O53" s="31"/>
      <c r="P53" s="31"/>
      <c r="Q53" s="31"/>
      <c r="R53" s="31"/>
      <c r="S53" s="31"/>
      <c r="T53" s="31">
        <f>COUNTIF(qualities,$AG$23)</f>
        <v>0</v>
      </c>
      <c r="U53" s="31"/>
      <c r="V53" s="168" t="s">
        <v>436</v>
      </c>
      <c r="W53" s="36" t="s">
        <v>440</v>
      </c>
      <c r="X53" s="36"/>
      <c r="Y53" s="36">
        <f t="shared" ca="1" si="45"/>
        <v>4</v>
      </c>
      <c r="Z53" s="36"/>
      <c r="AA53" s="176" t="str">
        <f t="shared" si="50"/>
        <v xml:space="preserve">Fast, </v>
      </c>
      <c r="AB53" s="176" t="str">
        <f t="shared" si="46"/>
        <v>Fast</v>
      </c>
      <c r="AC53" s="176">
        <f t="shared" si="47"/>
        <v>0</v>
      </c>
      <c r="AD53" s="176">
        <f t="shared" si="48"/>
        <v>0</v>
      </c>
      <c r="AE53" s="176">
        <f>IF('Char Sheet p1'!B39=$AE$51,'Char Sheet p1'!P39,0)</f>
        <v>0</v>
      </c>
      <c r="AG53" s="32" t="s">
        <v>869</v>
      </c>
      <c r="AH53" s="34" t="s">
        <v>881</v>
      </c>
      <c r="AI53" s="34" t="s">
        <v>942</v>
      </c>
      <c r="AJ53" s="31"/>
      <c r="AK53" s="31"/>
      <c r="AL53" s="31" t="str">
        <f t="shared" si="31"/>
        <v/>
      </c>
      <c r="AM53" s="31">
        <f>N(persuasion&gt;2)</f>
        <v>0</v>
      </c>
      <c r="AN53" s="31">
        <f t="shared" si="24"/>
        <v>52</v>
      </c>
      <c r="AO53" s="35" t="s">
        <v>58</v>
      </c>
      <c r="AP53" s="134"/>
      <c r="AQ53" s="47"/>
      <c r="AR53" s="134"/>
      <c r="AS53" s="47"/>
      <c r="AT53" s="134"/>
      <c r="AU53" s="47"/>
      <c r="AV53" s="134"/>
      <c r="AW53" s="47"/>
      <c r="AX53" s="134"/>
      <c r="AY53" s="47"/>
      <c r="AZ53" s="134"/>
      <c r="BA53" s="47">
        <f>ROUNDDOWN(persuasion/2,0)</f>
        <v>1</v>
      </c>
      <c r="BB53" s="134"/>
      <c r="BC53" s="47"/>
      <c r="BD53" s="134"/>
      <c r="BE53" s="47"/>
      <c r="BF53" s="134"/>
      <c r="BG53" s="47"/>
      <c r="BH53" s="134"/>
      <c r="BI53" s="47"/>
      <c r="BJ53" s="134"/>
      <c r="BK53" s="47"/>
      <c r="BL53" s="134"/>
      <c r="BM53" s="47"/>
      <c r="BN53" s="134"/>
      <c r="BO53" s="47"/>
      <c r="BP53" s="134"/>
      <c r="BQ53" s="47"/>
      <c r="BR53" s="134"/>
      <c r="BS53" s="47"/>
      <c r="BT53" s="134"/>
      <c r="BU53" s="47"/>
      <c r="BV53" s="134"/>
      <c r="BW53" s="47"/>
      <c r="BX53" s="134"/>
      <c r="BY53" s="47"/>
      <c r="BZ53" s="134"/>
      <c r="CA53" s="47"/>
      <c r="CB53" s="120"/>
      <c r="CC53" s="120"/>
      <c r="CD53" s="120"/>
      <c r="CE53" s="120"/>
      <c r="CF53" s="120"/>
      <c r="CG53" s="120"/>
      <c r="CH53" s="120"/>
      <c r="CI53" s="120"/>
      <c r="CJ53" s="120"/>
      <c r="CK53" s="179" t="str">
        <f t="shared" si="1"/>
        <v/>
      </c>
      <c r="CL53" s="37" t="str">
        <f t="shared" ca="1" si="32"/>
        <v>Talented (Persuasion)</v>
      </c>
      <c r="CM53" s="36" t="str">
        <f t="shared" si="16"/>
        <v/>
      </c>
      <c r="CN53" s="37" t="str">
        <f ca="1">IF($AN53&gt;CN$1,"",INDEX($AG$2:$AG$226,SMALL(CM$2:$CM$226,$AN53),1))</f>
        <v>Talented (Persuasion)</v>
      </c>
      <c r="CO53" s="36" t="str">
        <f t="shared" si="17"/>
        <v/>
      </c>
      <c r="CP53" s="37" t="str">
        <f t="shared" ca="1" si="18"/>
        <v>Talented (Persuasion)</v>
      </c>
      <c r="CS53" s="28" t="str">
        <f t="shared" si="3"/>
        <v/>
      </c>
      <c r="CT53" s="37" t="str">
        <f t="shared" ca="1" si="33"/>
        <v>Talented (Status)</v>
      </c>
      <c r="CU53" s="28" t="str">
        <f t="shared" si="3"/>
        <v/>
      </c>
      <c r="CV53" s="37" t="str">
        <f t="shared" ca="1" si="34"/>
        <v>Talented (Status)</v>
      </c>
      <c r="CW53" s="28" t="str">
        <f t="shared" si="6"/>
        <v/>
      </c>
      <c r="CX53" s="37" t="str">
        <f t="shared" ca="1" si="35"/>
        <v>Talented (Status)</v>
      </c>
      <c r="CY53" s="28" t="str">
        <f t="shared" si="8"/>
        <v/>
      </c>
      <c r="CZ53" s="37" t="str">
        <f t="shared" ca="1" si="35"/>
        <v>Talented (Status)</v>
      </c>
      <c r="DA53" s="28" t="str">
        <f t="shared" si="9"/>
        <v/>
      </c>
      <c r="DB53" s="37" t="str">
        <f t="shared" ca="1" si="36"/>
        <v>Talented (Status)</v>
      </c>
      <c r="DC53" s="28" t="str">
        <f t="shared" si="11"/>
        <v/>
      </c>
      <c r="DD53" s="37" t="str">
        <f t="shared" ca="1" si="37"/>
        <v>Talented (Status)</v>
      </c>
      <c r="DN53" s="32">
        <v>52</v>
      </c>
      <c r="DO53" s="34" t="s">
        <v>646</v>
      </c>
      <c r="DP53" s="38">
        <f t="shared" si="28"/>
        <v>0</v>
      </c>
      <c r="DQ53" s="173" t="str">
        <f t="shared" si="19"/>
        <v>(Anim) 0</v>
      </c>
      <c r="DR53" s="36" t="str">
        <f t="shared" si="20"/>
        <v/>
      </c>
      <c r="DS53" s="37" t="str">
        <f t="shared" si="21"/>
        <v>(Pers) Seduce</v>
      </c>
      <c r="DT53" s="235">
        <f>CharGen!AD27</f>
        <v>0</v>
      </c>
      <c r="DU53" s="236">
        <f>IF(DT53=0,0,CharGen!AC27)</f>
        <v>0</v>
      </c>
      <c r="DV53" s="154">
        <f t="shared" si="14"/>
        <v>0</v>
      </c>
      <c r="DW53" s="243">
        <f>IF(COUNTIF('Char Sheet p1'!$AP$7:$AP$35,DQ53)=0,0,ROUNDDOWN(SUMIF('Char Sheet p1'!$AP$7:$AP$35,DQ53,'Char Sheet p1'!$AQ$7:$AQ$35)/10,0))</f>
        <v>0</v>
      </c>
      <c r="DX53" s="240">
        <f t="shared" si="22"/>
        <v>0</v>
      </c>
      <c r="DY53" s="36">
        <f t="shared" si="30"/>
        <v>26</v>
      </c>
      <c r="DZ53" s="36" t="str">
        <f t="shared" si="15"/>
        <v/>
      </c>
      <c r="EA53" s="245">
        <v>1</v>
      </c>
      <c r="EB53" s="75" t="str">
        <f>DO444</f>
        <v>Will</v>
      </c>
      <c r="EC53" s="246" t="str">
        <f>IF(EA53&gt;$EB$54,"",INDEX($DP$444:$DP$469,SMALL($DZ$444:$DZ$469,EA53),1))</f>
        <v/>
      </c>
      <c r="ED53" s="247" t="str">
        <f t="shared" si="23"/>
        <v/>
      </c>
      <c r="EE53" s="55">
        <f t="shared" si="29"/>
        <v>3</v>
      </c>
    </row>
    <row r="54" spans="1:135" ht="11.25">
      <c r="A54" s="138">
        <f t="shared" si="39"/>
        <v>0</v>
      </c>
      <c r="B54" s="168">
        <f t="shared" si="40"/>
        <v>0</v>
      </c>
      <c r="C54" s="32" t="s">
        <v>361</v>
      </c>
      <c r="D54" s="34" t="s">
        <v>674</v>
      </c>
      <c r="E54" s="31"/>
      <c r="F54" s="31">
        <f t="shared" ca="1" si="41"/>
        <v>0</v>
      </c>
      <c r="G54" s="34" t="s">
        <v>672</v>
      </c>
      <c r="H54" s="168">
        <f t="shared" ca="1" si="43"/>
        <v>3</v>
      </c>
      <c r="I54" s="168" t="str">
        <f t="shared" ca="1" si="44"/>
        <v/>
      </c>
      <c r="J54" s="154"/>
      <c r="K54" s="102">
        <v>1</v>
      </c>
      <c r="L54" s="31"/>
      <c r="M54" s="31"/>
      <c r="N54" s="31" t="s">
        <v>426</v>
      </c>
      <c r="O54" s="31"/>
      <c r="P54" s="31"/>
      <c r="Q54" s="31"/>
      <c r="R54" s="31">
        <f ca="1">powerful</f>
        <v>0</v>
      </c>
      <c r="S54" s="31"/>
      <c r="T54" s="31">
        <f>2+COUNTIF(qualities,$AG$23)</f>
        <v>2</v>
      </c>
      <c r="U54" s="31"/>
      <c r="V54" s="168" t="s">
        <v>436</v>
      </c>
      <c r="W54" s="36" t="s">
        <v>440</v>
      </c>
      <c r="X54" s="36"/>
      <c r="Y54" s="36">
        <f t="shared" ca="1" si="45"/>
        <v>4</v>
      </c>
      <c r="Z54" s="36"/>
      <c r="AA54" s="176" t="str">
        <f t="shared" si="50"/>
        <v xml:space="preserve">Bulk 1, Slow, Shatter 2, </v>
      </c>
      <c r="AB54" s="176" t="str">
        <f t="shared" si="46"/>
        <v>Bulk 1, Slow, Shatter 2</v>
      </c>
      <c r="AC54" s="176">
        <f t="shared" si="47"/>
        <v>0</v>
      </c>
      <c r="AD54" s="176">
        <f t="shared" si="48"/>
        <v>0</v>
      </c>
      <c r="AE54" s="176">
        <f>IF('Char Sheet p1'!B41=$AE$51,'Char Sheet p1'!P41,0)</f>
        <v>0</v>
      </c>
      <c r="AG54" s="32" t="s">
        <v>844</v>
      </c>
      <c r="AH54" s="34" t="s">
        <v>880</v>
      </c>
      <c r="AI54" s="34" t="s">
        <v>916</v>
      </c>
      <c r="AJ54" s="31"/>
      <c r="AK54" s="31"/>
      <c r="AL54" s="31" t="str">
        <f t="shared" si="31"/>
        <v/>
      </c>
      <c r="AM54" s="31">
        <f>N(awareness&gt;3)</f>
        <v>0</v>
      </c>
      <c r="AN54" s="31">
        <f t="shared" si="24"/>
        <v>53</v>
      </c>
      <c r="AO54" s="35" t="s">
        <v>955</v>
      </c>
      <c r="AP54" s="134"/>
      <c r="AQ54" s="47"/>
      <c r="AR54" s="134"/>
      <c r="AS54" s="47"/>
      <c r="AT54" s="134"/>
      <c r="AU54" s="47"/>
      <c r="AV54" s="134"/>
      <c r="AW54" s="47"/>
      <c r="AX54" s="134"/>
      <c r="AY54" s="47"/>
      <c r="AZ54" s="134"/>
      <c r="BA54" s="47"/>
      <c r="BB54" s="134"/>
      <c r="BC54" s="47"/>
      <c r="BD54" s="134"/>
      <c r="BE54" s="47"/>
      <c r="BF54" s="134"/>
      <c r="BG54" s="47"/>
      <c r="BH54" s="134"/>
      <c r="BI54" s="47"/>
      <c r="BJ54" s="134"/>
      <c r="BK54" s="47"/>
      <c r="BL54" s="134"/>
      <c r="BM54" s="47"/>
      <c r="BN54" s="134"/>
      <c r="BO54" s="47"/>
      <c r="BP54" s="134"/>
      <c r="BQ54" s="47"/>
      <c r="BR54" s="134"/>
      <c r="BS54" s="47"/>
      <c r="BT54" s="134"/>
      <c r="BU54" s="47"/>
      <c r="BV54" s="134"/>
      <c r="BW54" s="47"/>
      <c r="BX54" s="134"/>
      <c r="BY54" s="47"/>
      <c r="BZ54" s="134"/>
      <c r="CA54" s="47"/>
      <c r="CB54" s="120"/>
      <c r="CC54" s="120"/>
      <c r="CD54" s="120"/>
      <c r="CE54" s="120"/>
      <c r="CF54" s="120"/>
      <c r="CG54" s="120"/>
      <c r="CH54" s="120"/>
      <c r="CI54" s="120"/>
      <c r="CJ54" s="120"/>
      <c r="CK54" s="179" t="str">
        <f t="shared" si="1"/>
        <v/>
      </c>
      <c r="CL54" s="37" t="str">
        <f t="shared" ca="1" si="32"/>
        <v>Talented (Status)</v>
      </c>
      <c r="CM54" s="36" t="str">
        <f t="shared" si="16"/>
        <v/>
      </c>
      <c r="CN54" s="37" t="str">
        <f ca="1">IF($AN54&gt;CN$1,"",INDEX($AG$2:$AG$226,SMALL(CM$2:$CM$226,$AN54),1))</f>
        <v>Talented (Status)</v>
      </c>
      <c r="CO54" s="36" t="str">
        <f t="shared" si="17"/>
        <v/>
      </c>
      <c r="CP54" s="37" t="str">
        <f t="shared" ca="1" si="18"/>
        <v>Talented (Status)</v>
      </c>
      <c r="CS54" s="28" t="str">
        <f t="shared" si="3"/>
        <v/>
      </c>
      <c r="CT54" s="37" t="str">
        <f t="shared" ca="1" si="33"/>
        <v>Talented (Stealth)</v>
      </c>
      <c r="CU54" s="28" t="str">
        <f t="shared" si="3"/>
        <v/>
      </c>
      <c r="CV54" s="37" t="str">
        <f t="shared" ca="1" si="34"/>
        <v>Talented (Stealth)</v>
      </c>
      <c r="CW54" s="28" t="str">
        <f t="shared" si="6"/>
        <v/>
      </c>
      <c r="CX54" s="37" t="str">
        <f t="shared" ca="1" si="35"/>
        <v>Talented (Stealth)</v>
      </c>
      <c r="CY54" s="28" t="str">
        <f t="shared" si="8"/>
        <v/>
      </c>
      <c r="CZ54" s="37" t="str">
        <f t="shared" ca="1" si="35"/>
        <v>Talented (Stealth)</v>
      </c>
      <c r="DA54" s="28" t="str">
        <f t="shared" si="9"/>
        <v/>
      </c>
      <c r="DB54" s="37" t="str">
        <f t="shared" ca="1" si="36"/>
        <v>Talented (Stealth)</v>
      </c>
      <c r="DC54" s="28" t="str">
        <f t="shared" si="11"/>
        <v/>
      </c>
      <c r="DD54" s="37" t="str">
        <f t="shared" ca="1" si="37"/>
        <v>Talented (Stealth)</v>
      </c>
      <c r="DN54" s="32">
        <v>53</v>
      </c>
      <c r="DO54" s="34" t="s">
        <v>651</v>
      </c>
      <c r="DP54" s="38" t="str">
        <f t="shared" ref="DP54:DP79" si="51">N2</f>
        <v>Climb</v>
      </c>
      <c r="DQ54" s="173" t="str">
        <f t="shared" si="19"/>
        <v>(Athl) Climb</v>
      </c>
      <c r="DR54" s="36">
        <f t="shared" si="20"/>
        <v>53</v>
      </c>
      <c r="DS54" s="37" t="str">
        <f t="shared" si="21"/>
        <v>(Pers) Taunt</v>
      </c>
      <c r="DT54" s="235">
        <f>CharGen!AD28</f>
        <v>0</v>
      </c>
      <c r="DU54" s="236">
        <f>IF(DT54=0,0,CharGen!AC28)</f>
        <v>0</v>
      </c>
      <c r="DV54" s="154">
        <f t="shared" si="14"/>
        <v>0</v>
      </c>
      <c r="DW54" s="243">
        <f>IF(COUNTIF('Char Sheet p1'!$AP$7:$AP$35,DQ54)=0,0,ROUNDDOWN(SUMIF('Char Sheet p1'!$AP$7:$AP$35,DQ54,'Char Sheet p1'!$AQ$7:$AQ$35)/10,0))</f>
        <v>0</v>
      </c>
      <c r="DX54" s="240">
        <f t="shared" si="22"/>
        <v>0</v>
      </c>
      <c r="DY54" s="36">
        <v>1</v>
      </c>
      <c r="DZ54" s="36" t="str">
        <f t="shared" si="15"/>
        <v/>
      </c>
      <c r="EA54" s="36">
        <v>2</v>
      </c>
      <c r="EB54" s="78">
        <f>COUNT(DZ444:DZ469)</f>
        <v>0</v>
      </c>
      <c r="EC54" s="32" t="str">
        <f>IF(EA54&gt;$EB$54,"",INDEX($DP$444:$DP$469,SMALL($DZ$444:$DZ$469,EA54),1))</f>
        <v/>
      </c>
      <c r="ED54" s="39" t="str">
        <f t="shared" si="23"/>
        <v/>
      </c>
      <c r="EE54" s="245">
        <f>'Char Sheet p1'!B12</f>
        <v>4</v>
      </c>
    </row>
    <row r="55" spans="1:135">
      <c r="A55" s="138">
        <f t="shared" si="39"/>
        <v>0</v>
      </c>
      <c r="B55" s="168">
        <f t="shared" si="40"/>
        <v>0</v>
      </c>
      <c r="C55" s="32" t="s">
        <v>362</v>
      </c>
      <c r="D55" s="34" t="s">
        <v>675</v>
      </c>
      <c r="E55" s="31"/>
      <c r="F55" s="31">
        <f t="shared" ca="1" si="41"/>
        <v>0</v>
      </c>
      <c r="G55" s="34" t="s">
        <v>672</v>
      </c>
      <c r="H55" s="168">
        <f t="shared" ca="1" si="43"/>
        <v>3</v>
      </c>
      <c r="I55" s="168" t="str">
        <f t="shared" ca="1" si="44"/>
        <v/>
      </c>
      <c r="J55" s="154">
        <f>COUNTIF(qualities,$AG$30)*athletics</f>
        <v>0</v>
      </c>
      <c r="K55" s="102"/>
      <c r="L55" s="31"/>
      <c r="M55" s="31"/>
      <c r="N55" s="405" t="str">
        <f>IF(COUNTIF(qualities,AG29)=1,"Fast","")</f>
        <v/>
      </c>
      <c r="O55" s="31"/>
      <c r="P55" s="31">
        <v>1</v>
      </c>
      <c r="Q55" s="31"/>
      <c r="R55" s="31">
        <f ca="1">COUNTIF(qualities,AG30)*powerful</f>
        <v>0</v>
      </c>
      <c r="S55" s="31"/>
      <c r="T55" s="31"/>
      <c r="U55" s="31"/>
      <c r="V55" s="168" t="s">
        <v>418</v>
      </c>
      <c r="W55" s="36" t="s">
        <v>440</v>
      </c>
      <c r="X55" s="36">
        <f>-3+COUNTIF(qualities,$AG$30)</f>
        <v>-3</v>
      </c>
      <c r="Y55" s="36">
        <f t="shared" ca="1" si="45"/>
        <v>1</v>
      </c>
      <c r="Z55" s="36"/>
      <c r="AA55" s="176" t="str">
        <f t="shared" si="50"/>
        <v xml:space="preserve">Off-hand+1, Grab, </v>
      </c>
      <c r="AB55" s="176" t="str">
        <f t="shared" si="46"/>
        <v>Off-hand+1, Grab</v>
      </c>
      <c r="AC55" s="176">
        <f t="shared" si="47"/>
        <v>0</v>
      </c>
      <c r="AD55" s="176">
        <f t="shared" si="48"/>
        <v>0</v>
      </c>
      <c r="AE55" s="176">
        <f>IF('Char Sheet p1'!B42=$AE$51,'Char Sheet p1'!P42,0)</f>
        <v>0</v>
      </c>
      <c r="AG55" s="32" t="s">
        <v>845</v>
      </c>
      <c r="AH55" s="34" t="s">
        <v>880</v>
      </c>
      <c r="AI55" s="34" t="s">
        <v>917</v>
      </c>
      <c r="AJ55" s="31"/>
      <c r="AK55" s="31"/>
      <c r="AL55" s="31" t="str">
        <f t="shared" si="31"/>
        <v/>
      </c>
      <c r="AM55" s="31">
        <f>N(marksmanship&gt;4)</f>
        <v>0</v>
      </c>
      <c r="AN55" s="31">
        <f t="shared" si="24"/>
        <v>54</v>
      </c>
      <c r="AO55" s="35" t="s">
        <v>470</v>
      </c>
      <c r="AP55" s="134"/>
      <c r="AQ55" s="47"/>
      <c r="AR55" s="134"/>
      <c r="AS55" s="47"/>
      <c r="AT55" s="134"/>
      <c r="AU55" s="47"/>
      <c r="AV55" s="134"/>
      <c r="AW55" s="47"/>
      <c r="AX55" s="134"/>
      <c r="AY55" s="47"/>
      <c r="AZ55" s="134"/>
      <c r="BA55" s="47"/>
      <c r="BB55" s="134"/>
      <c r="BC55" s="47"/>
      <c r="BD55" s="134"/>
      <c r="BE55" s="47"/>
      <c r="BF55" s="134"/>
      <c r="BG55" s="47"/>
      <c r="BH55" s="134"/>
      <c r="BI55" s="47"/>
      <c r="BJ55" s="134"/>
      <c r="BK55" s="47"/>
      <c r="BL55" s="134"/>
      <c r="BM55" s="47"/>
      <c r="BN55" s="134"/>
      <c r="BO55" s="47"/>
      <c r="BP55" s="134"/>
      <c r="BQ55" s="47"/>
      <c r="BR55" s="134"/>
      <c r="BS55" s="47"/>
      <c r="BT55" s="134"/>
      <c r="BU55" s="47"/>
      <c r="BV55" s="134"/>
      <c r="BW55" s="47"/>
      <c r="BX55" s="134"/>
      <c r="BY55" s="47"/>
      <c r="BZ55" s="134"/>
      <c r="CA55" s="47"/>
      <c r="CB55" s="120"/>
      <c r="CC55" s="120"/>
      <c r="CD55" s="120"/>
      <c r="CE55" s="120"/>
      <c r="CF55" s="120"/>
      <c r="CG55" s="120"/>
      <c r="CH55" s="120"/>
      <c r="CI55" s="120"/>
      <c r="CJ55" s="120"/>
      <c r="CK55" s="179" t="str">
        <f t="shared" si="1"/>
        <v/>
      </c>
      <c r="CL55" s="37" t="str">
        <f t="shared" ca="1" si="32"/>
        <v>Talented (Stealth)</v>
      </c>
      <c r="CM55" s="36" t="str">
        <f t="shared" si="16"/>
        <v/>
      </c>
      <c r="CN55" s="37" t="str">
        <f ca="1">IF($AN55&gt;CN$1,"",INDEX($AG$2:$AG$226,SMALL(CM$2:$CM$226,$AN55),1))</f>
        <v>Talented (Stealth)</v>
      </c>
      <c r="CO55" s="36" t="str">
        <f t="shared" si="17"/>
        <v/>
      </c>
      <c r="CP55" s="37" t="str">
        <f t="shared" ca="1" si="18"/>
        <v>Talented (Stealth)</v>
      </c>
      <c r="CS55" s="28" t="str">
        <f t="shared" si="3"/>
        <v/>
      </c>
      <c r="CT55" s="37" t="str">
        <f t="shared" ca="1" si="33"/>
        <v>Talented (Survival)</v>
      </c>
      <c r="CU55" s="28" t="str">
        <f t="shared" si="3"/>
        <v/>
      </c>
      <c r="CV55" s="37" t="str">
        <f t="shared" ca="1" si="34"/>
        <v>Talented (Survival)</v>
      </c>
      <c r="CW55" s="28" t="str">
        <f t="shared" si="6"/>
        <v/>
      </c>
      <c r="CX55" s="37" t="str">
        <f t="shared" ca="1" si="35"/>
        <v>Talented (Survival)</v>
      </c>
      <c r="CY55" s="28" t="str">
        <f t="shared" si="8"/>
        <v/>
      </c>
      <c r="CZ55" s="37" t="str">
        <f t="shared" ca="1" si="35"/>
        <v>Talented (Survival)</v>
      </c>
      <c r="DA55" s="28" t="str">
        <f t="shared" si="9"/>
        <v/>
      </c>
      <c r="DB55" s="37" t="str">
        <f t="shared" ca="1" si="36"/>
        <v>Talented (Survival)</v>
      </c>
      <c r="DC55" s="28" t="str">
        <f t="shared" si="11"/>
        <v/>
      </c>
      <c r="DD55" s="37" t="str">
        <f t="shared" ca="1" si="37"/>
        <v>Talented (Survival)</v>
      </c>
      <c r="DN55" s="32">
        <v>54</v>
      </c>
      <c r="DO55" s="34" t="s">
        <v>651</v>
      </c>
      <c r="DP55" s="38" t="str">
        <f t="shared" si="51"/>
        <v>Jump</v>
      </c>
      <c r="DQ55" s="173" t="str">
        <f t="shared" si="19"/>
        <v>(Athl) Jump</v>
      </c>
      <c r="DR55" s="36">
        <f t="shared" si="20"/>
        <v>54</v>
      </c>
      <c r="DS55" s="37" t="str">
        <f t="shared" si="21"/>
        <v>(Stat) Breeding</v>
      </c>
      <c r="DT55" s="235">
        <f>CharGen!AD29</f>
        <v>0</v>
      </c>
      <c r="DU55" s="236">
        <f>IF(DT55=0,0,CharGen!AC29)</f>
        <v>0</v>
      </c>
      <c r="DV55" s="154">
        <f t="shared" si="14"/>
        <v>0</v>
      </c>
      <c r="DW55" s="243">
        <f>IF(COUNTIF('Char Sheet p1'!$AP$7:$AP$35,DQ55)=0,0,ROUNDDOWN(SUMIF('Char Sheet p1'!$AP$7:$AP$35,DQ55,'Char Sheet p1'!$AQ$7:$AQ$35)/10,0))</f>
        <v>0</v>
      </c>
      <c r="DX55" s="240">
        <f t="shared" si="22"/>
        <v>0</v>
      </c>
      <c r="DY55" s="36">
        <v>2</v>
      </c>
      <c r="DZ55" s="36" t="str">
        <f t="shared" si="15"/>
        <v/>
      </c>
      <c r="EA55" s="55">
        <v>3</v>
      </c>
      <c r="EC55" s="41" t="str">
        <f>IF(EA55&gt;$EB$54,"",INDEX($DP$444:$DP$469,SMALL($DZ$444:$DZ$469,EA55),1))</f>
        <v/>
      </c>
      <c r="ED55" s="43" t="str">
        <f t="shared" si="23"/>
        <v/>
      </c>
      <c r="EE55" s="36">
        <f>EE54</f>
        <v>4</v>
      </c>
    </row>
    <row r="56" spans="1:135">
      <c r="A56" s="138">
        <f t="shared" si="39"/>
        <v>0</v>
      </c>
      <c r="B56" s="168">
        <f t="shared" si="40"/>
        <v>0</v>
      </c>
      <c r="C56" s="32" t="s">
        <v>363</v>
      </c>
      <c r="D56" s="34" t="s">
        <v>675</v>
      </c>
      <c r="E56" s="31"/>
      <c r="F56" s="31">
        <f t="shared" ca="1" si="41"/>
        <v>0</v>
      </c>
      <c r="G56" s="34" t="s">
        <v>672</v>
      </c>
      <c r="H56" s="168">
        <f t="shared" ca="1" si="43"/>
        <v>3</v>
      </c>
      <c r="I56" s="168" t="str">
        <f t="shared" ca="1" si="44"/>
        <v/>
      </c>
      <c r="J56" s="154"/>
      <c r="K56" s="102"/>
      <c r="L56" s="31"/>
      <c r="M56" s="31"/>
      <c r="N56" s="31"/>
      <c r="O56" s="31"/>
      <c r="P56" s="31">
        <v>1</v>
      </c>
      <c r="Q56" s="31"/>
      <c r="R56" s="31"/>
      <c r="S56" s="31"/>
      <c r="T56" s="31"/>
      <c r="U56" s="31"/>
      <c r="V56" s="168" t="s">
        <v>418</v>
      </c>
      <c r="W56" s="36" t="s">
        <v>440</v>
      </c>
      <c r="X56" s="36">
        <v>-2</v>
      </c>
      <c r="Y56" s="36">
        <f t="shared" ca="1" si="45"/>
        <v>2</v>
      </c>
      <c r="Z56" s="36"/>
      <c r="AA56" s="176" t="str">
        <f t="shared" si="50"/>
        <v xml:space="preserve">Off-hand+1, Grab, </v>
      </c>
      <c r="AB56" s="176" t="str">
        <f t="shared" si="46"/>
        <v>Off-hand+1, Grab</v>
      </c>
      <c r="AC56" s="176">
        <f t="shared" si="47"/>
        <v>0</v>
      </c>
      <c r="AD56" s="176">
        <f t="shared" si="48"/>
        <v>0</v>
      </c>
      <c r="AE56" s="176">
        <f>IF('Char Sheet p1'!B43=$AE$51,'Char Sheet p1'!P43,0)</f>
        <v>0</v>
      </c>
      <c r="AG56" s="32" t="s">
        <v>846</v>
      </c>
      <c r="AH56" s="34" t="s">
        <v>880</v>
      </c>
      <c r="AI56" s="34" t="s">
        <v>918</v>
      </c>
      <c r="AJ56" s="31"/>
      <c r="AK56" s="31"/>
      <c r="AL56" s="31" t="str">
        <f t="shared" si="31"/>
        <v/>
      </c>
      <c r="AM56" s="31">
        <f>N(agility&gt;3)</f>
        <v>1</v>
      </c>
      <c r="AN56" s="31">
        <f t="shared" si="24"/>
        <v>55</v>
      </c>
      <c r="AO56" s="35" t="s">
        <v>59</v>
      </c>
      <c r="AP56" s="134"/>
      <c r="AQ56" s="47"/>
      <c r="AR56" s="134"/>
      <c r="AS56" s="47"/>
      <c r="AT56" s="134"/>
      <c r="AU56" s="47"/>
      <c r="AV56" s="134"/>
      <c r="AW56" s="47"/>
      <c r="AX56" s="134"/>
      <c r="AY56" s="47"/>
      <c r="AZ56" s="134"/>
      <c r="BA56" s="47"/>
      <c r="BB56" s="134"/>
      <c r="BC56" s="47"/>
      <c r="BD56" s="134"/>
      <c r="BE56" s="47"/>
      <c r="BF56" s="134"/>
      <c r="BG56" s="47"/>
      <c r="BH56" s="134"/>
      <c r="BI56" s="47"/>
      <c r="BJ56" s="134"/>
      <c r="BK56" s="47"/>
      <c r="BL56" s="134"/>
      <c r="BM56" s="47"/>
      <c r="BN56" s="134"/>
      <c r="BO56" s="47"/>
      <c r="BP56" s="134"/>
      <c r="BQ56" s="47"/>
      <c r="BR56" s="134"/>
      <c r="BS56" s="47"/>
      <c r="BT56" s="134"/>
      <c r="BU56" s="47"/>
      <c r="BV56" s="134"/>
      <c r="BW56" s="47"/>
      <c r="BX56" s="134"/>
      <c r="BY56" s="47"/>
      <c r="BZ56" s="134"/>
      <c r="CA56" s="47"/>
      <c r="CB56" s="120"/>
      <c r="CC56" s="120"/>
      <c r="CD56" s="120"/>
      <c r="CE56" s="120"/>
      <c r="CF56" s="120"/>
      <c r="CG56" s="120"/>
      <c r="CH56" s="120"/>
      <c r="CI56" s="120"/>
      <c r="CJ56" s="120"/>
      <c r="CK56" s="179">
        <f t="shared" si="1"/>
        <v>55</v>
      </c>
      <c r="CL56" s="37" t="str">
        <f t="shared" ca="1" si="32"/>
        <v>Talented (Survival)</v>
      </c>
      <c r="CM56" s="36">
        <f t="shared" si="16"/>
        <v>55</v>
      </c>
      <c r="CN56" s="37" t="str">
        <f ca="1">IF($AN56&gt;CN$1,"",INDEX($AG$2:$AG$226,SMALL(CM$2:$CM$226,$AN56),1))</f>
        <v>Talented (Survival)</v>
      </c>
      <c r="CO56" s="36">
        <f t="shared" si="17"/>
        <v>55</v>
      </c>
      <c r="CP56" s="37" t="str">
        <f t="shared" ca="1" si="18"/>
        <v>Talented (Survival)</v>
      </c>
      <c r="CS56" s="28">
        <f t="shared" si="3"/>
        <v>55</v>
      </c>
      <c r="CT56" s="37" t="str">
        <f t="shared" ca="1" si="33"/>
        <v>Talented (Thievery)</v>
      </c>
      <c r="CU56" s="28">
        <f t="shared" si="3"/>
        <v>55</v>
      </c>
      <c r="CV56" s="37" t="str">
        <f t="shared" ca="1" si="34"/>
        <v>Talented (Thievery)</v>
      </c>
      <c r="CW56" s="28">
        <f t="shared" si="6"/>
        <v>55</v>
      </c>
      <c r="CX56" s="37" t="str">
        <f t="shared" ca="1" si="35"/>
        <v>Talented (Thievery)</v>
      </c>
      <c r="CY56" s="28">
        <f t="shared" si="8"/>
        <v>55</v>
      </c>
      <c r="CZ56" s="37" t="str">
        <f t="shared" ca="1" si="35"/>
        <v>Talented (Thievery)</v>
      </c>
      <c r="DA56" s="28">
        <f t="shared" si="9"/>
        <v>55</v>
      </c>
      <c r="DB56" s="37" t="str">
        <f t="shared" ca="1" si="36"/>
        <v>Talented (Thievery)</v>
      </c>
      <c r="DC56" s="28">
        <f t="shared" si="11"/>
        <v>55</v>
      </c>
      <c r="DD56" s="37" t="str">
        <f t="shared" ca="1" si="37"/>
        <v>Talented (Thievery)</v>
      </c>
      <c r="DN56" s="32">
        <v>55</v>
      </c>
      <c r="DO56" s="34" t="s">
        <v>651</v>
      </c>
      <c r="DP56" s="38" t="str">
        <f t="shared" si="51"/>
        <v>Run</v>
      </c>
      <c r="DQ56" s="173" t="str">
        <f t="shared" si="19"/>
        <v>(Athl) Run</v>
      </c>
      <c r="DR56" s="36">
        <f t="shared" si="20"/>
        <v>55</v>
      </c>
      <c r="DS56" s="37" t="str">
        <f t="shared" si="21"/>
        <v>(Stat) Reputation</v>
      </c>
      <c r="DT56" s="235">
        <f>CharGen!AD30</f>
        <v>0</v>
      </c>
      <c r="DU56" s="236">
        <f>IF(DT56=0,0,CharGen!AC30)</f>
        <v>0</v>
      </c>
      <c r="DV56" s="154">
        <f t="shared" si="14"/>
        <v>0</v>
      </c>
      <c r="DW56" s="243">
        <f>IF(COUNTIF('Char Sheet p1'!$AP$7:$AP$35,DQ56)=0,0,ROUNDDOWN(SUMIF('Char Sheet p1'!$AP$7:$AP$35,DQ56,'Char Sheet p1'!$AQ$7:$AQ$35)/10,0))</f>
        <v>1</v>
      </c>
      <c r="DX56" s="240">
        <f t="shared" si="22"/>
        <v>1</v>
      </c>
      <c r="DY56" s="36">
        <v>3</v>
      </c>
      <c r="DZ56" s="36">
        <f t="shared" si="15"/>
        <v>3</v>
      </c>
      <c r="EE56" s="36">
        <f t="shared" ref="EE56:EE79" si="52">EE55</f>
        <v>4</v>
      </c>
    </row>
    <row r="57" spans="1:135">
      <c r="A57" s="138">
        <f t="shared" si="39"/>
        <v>0</v>
      </c>
      <c r="B57" s="168">
        <f t="shared" si="40"/>
        <v>0</v>
      </c>
      <c r="C57" s="32" t="s">
        <v>364</v>
      </c>
      <c r="D57" s="34" t="s">
        <v>675</v>
      </c>
      <c r="E57" s="31"/>
      <c r="F57" s="31">
        <f t="shared" ca="1" si="41"/>
        <v>0</v>
      </c>
      <c r="G57" s="34" t="s">
        <v>672</v>
      </c>
      <c r="H57" s="168">
        <f t="shared" ca="1" si="43"/>
        <v>3</v>
      </c>
      <c r="I57" s="168" t="str">
        <f t="shared" ca="1" si="44"/>
        <v/>
      </c>
      <c r="J57" s="154"/>
      <c r="K57" s="102"/>
      <c r="L57" s="31"/>
      <c r="M57" s="31"/>
      <c r="N57" s="31" t="s">
        <v>426</v>
      </c>
      <c r="O57" s="31"/>
      <c r="P57" s="31"/>
      <c r="Q57" s="31"/>
      <c r="R57" s="31"/>
      <c r="S57" s="31"/>
      <c r="T57" s="31"/>
      <c r="U57" s="31"/>
      <c r="V57" s="168" t="s">
        <v>436</v>
      </c>
      <c r="W57" s="36" t="s">
        <v>440</v>
      </c>
      <c r="X57" s="36">
        <v>-1</v>
      </c>
      <c r="Y57" s="36">
        <f t="shared" ca="1" si="45"/>
        <v>3</v>
      </c>
      <c r="Z57" s="36"/>
      <c r="AA57" s="176" t="str">
        <f t="shared" si="50"/>
        <v xml:space="preserve">Slow, </v>
      </c>
      <c r="AB57" s="176" t="str">
        <f t="shared" si="46"/>
        <v>Slow</v>
      </c>
      <c r="AC57" s="176">
        <f t="shared" si="47"/>
        <v>0</v>
      </c>
      <c r="AD57" s="176">
        <f t="shared" si="48"/>
        <v>0</v>
      </c>
      <c r="AE57" s="176">
        <f>IF('Char Sheet p1'!B44=$AE$51,'Char Sheet p1'!P44,0)</f>
        <v>0</v>
      </c>
      <c r="AG57" s="32" t="s">
        <v>754</v>
      </c>
      <c r="AH57" s="34" t="s">
        <v>773</v>
      </c>
      <c r="AI57" s="34"/>
      <c r="AJ57" s="31"/>
      <c r="AK57" s="31"/>
      <c r="AL57" s="31" t="str">
        <f t="shared" si="31"/>
        <v/>
      </c>
      <c r="AM57" s="31">
        <v>1</v>
      </c>
      <c r="AN57" s="31">
        <f t="shared" si="24"/>
        <v>56</v>
      </c>
      <c r="AO57" s="35" t="s">
        <v>60</v>
      </c>
      <c r="AP57" s="134"/>
      <c r="AQ57" s="47"/>
      <c r="AR57" s="134"/>
      <c r="AS57" s="47"/>
      <c r="AT57" s="134"/>
      <c r="AU57" s="47"/>
      <c r="AV57" s="134"/>
      <c r="AW57" s="47"/>
      <c r="AX57" s="134"/>
      <c r="AY57" s="47"/>
      <c r="AZ57" s="134"/>
      <c r="BA57" s="47"/>
      <c r="BB57" s="134"/>
      <c r="BC57" s="47"/>
      <c r="BD57" s="134"/>
      <c r="BE57" s="47"/>
      <c r="BF57" s="134"/>
      <c r="BG57" s="47"/>
      <c r="BH57" s="134"/>
      <c r="BI57" s="47"/>
      <c r="BJ57" s="134"/>
      <c r="BK57" s="47"/>
      <c r="BL57" s="134"/>
      <c r="BM57" s="47"/>
      <c r="BN57" s="134"/>
      <c r="BO57" s="47"/>
      <c r="BP57" s="134"/>
      <c r="BQ57" s="47"/>
      <c r="BR57" s="134"/>
      <c r="BS57" s="47"/>
      <c r="BT57" s="134"/>
      <c r="BU57" s="47"/>
      <c r="BV57" s="134"/>
      <c r="BW57" s="47"/>
      <c r="BX57" s="134"/>
      <c r="BY57" s="47"/>
      <c r="BZ57" s="134"/>
      <c r="CA57" s="47"/>
      <c r="CB57" s="120"/>
      <c r="CC57" s="120"/>
      <c r="CD57" s="120"/>
      <c r="CE57" s="120"/>
      <c r="CF57" s="120"/>
      <c r="CG57" s="120"/>
      <c r="CH57" s="120"/>
      <c r="CI57" s="120"/>
      <c r="CJ57" s="120"/>
      <c r="CK57" s="179">
        <f t="shared" si="1"/>
        <v>56</v>
      </c>
      <c r="CL57" s="37" t="str">
        <f t="shared" ca="1" si="32"/>
        <v>Talented (Thievery)</v>
      </c>
      <c r="CM57" s="36">
        <f t="shared" si="16"/>
        <v>56</v>
      </c>
      <c r="CN57" s="37" t="str">
        <f ca="1">IF($AN57&gt;CN$1,"",INDEX($AG$2:$AG$226,SMALL(CM$2:$CM$226,$AN57),1))</f>
        <v>Talented (Thievery)</v>
      </c>
      <c r="CO57" s="36">
        <f t="shared" si="17"/>
        <v>56</v>
      </c>
      <c r="CP57" s="37" t="str">
        <f t="shared" ca="1" si="18"/>
        <v>Talented (Thievery)</v>
      </c>
      <c r="CS57" s="28">
        <f t="shared" si="3"/>
        <v>56</v>
      </c>
      <c r="CT57" s="37" t="str">
        <f t="shared" ca="1" si="33"/>
        <v>Talented (Warfare)</v>
      </c>
      <c r="CU57" s="28">
        <f t="shared" si="3"/>
        <v>56</v>
      </c>
      <c r="CV57" s="37" t="str">
        <f t="shared" ca="1" si="34"/>
        <v>Talented (Warfare)</v>
      </c>
      <c r="CW57" s="28">
        <f t="shared" si="6"/>
        <v>56</v>
      </c>
      <c r="CX57" s="37" t="str">
        <f t="shared" ca="1" si="35"/>
        <v>Talented (Warfare)</v>
      </c>
      <c r="CY57" s="28">
        <f t="shared" si="8"/>
        <v>56</v>
      </c>
      <c r="CZ57" s="37" t="str">
        <f t="shared" ca="1" si="35"/>
        <v>Talented (Warfare)</v>
      </c>
      <c r="DA57" s="28">
        <f t="shared" si="9"/>
        <v>56</v>
      </c>
      <c r="DB57" s="37" t="str">
        <f t="shared" ca="1" si="36"/>
        <v>Talented (Warfare)</v>
      </c>
      <c r="DC57" s="28">
        <f t="shared" si="11"/>
        <v>56</v>
      </c>
      <c r="DD57" s="37" t="str">
        <f t="shared" ca="1" si="37"/>
        <v>Talented (Warfare)</v>
      </c>
      <c r="DN57" s="32">
        <v>56</v>
      </c>
      <c r="DO57" s="34" t="s">
        <v>651</v>
      </c>
      <c r="DP57" s="38" t="str">
        <f t="shared" si="51"/>
        <v>Strength</v>
      </c>
      <c r="DQ57" s="173" t="str">
        <f t="shared" si="19"/>
        <v>(Athl) Strength</v>
      </c>
      <c r="DR57" s="36">
        <f t="shared" si="20"/>
        <v>56</v>
      </c>
      <c r="DS57" s="37" t="str">
        <f t="shared" si="21"/>
        <v>(Stat) Stewardship</v>
      </c>
      <c r="DT57" s="235">
        <f>CharGen!AD31</f>
        <v>0</v>
      </c>
      <c r="DU57" s="236">
        <f>IF(DT57=0,0,CharGen!AC31)</f>
        <v>0</v>
      </c>
      <c r="DV57" s="154">
        <f t="shared" si="14"/>
        <v>0</v>
      </c>
      <c r="DW57" s="243">
        <f>IF(COUNTIF('Char Sheet p1'!$AP$7:$AP$35,DQ57)=0,0,ROUNDDOWN(SUMIF('Char Sheet p1'!$AP$7:$AP$35,DQ57,'Char Sheet p1'!$AQ$7:$AQ$35)/10,0))</f>
        <v>0</v>
      </c>
      <c r="DX57" s="240">
        <f t="shared" si="22"/>
        <v>0</v>
      </c>
      <c r="DY57" s="36">
        <v>4</v>
      </c>
      <c r="DZ57" s="36" t="str">
        <f t="shared" si="15"/>
        <v/>
      </c>
      <c r="EE57" s="36">
        <f t="shared" si="52"/>
        <v>4</v>
      </c>
    </row>
    <row r="58" spans="1:135">
      <c r="A58" s="138">
        <f t="shared" si="39"/>
        <v>0</v>
      </c>
      <c r="B58" s="168">
        <f t="shared" si="40"/>
        <v>0</v>
      </c>
      <c r="C58" s="32" t="s">
        <v>365</v>
      </c>
      <c r="D58" s="34" t="s">
        <v>675</v>
      </c>
      <c r="E58" s="31"/>
      <c r="F58" s="31">
        <f t="shared" ca="1" si="41"/>
        <v>0</v>
      </c>
      <c r="G58" s="34" t="s">
        <v>672</v>
      </c>
      <c r="H58" s="168">
        <f t="shared" ca="1" si="43"/>
        <v>3</v>
      </c>
      <c r="I58" s="168" t="str">
        <f t="shared" ca="1" si="44"/>
        <v/>
      </c>
      <c r="J58" s="154"/>
      <c r="K58" s="102"/>
      <c r="L58" s="31"/>
      <c r="M58" s="31"/>
      <c r="N58" s="31" t="s">
        <v>848</v>
      </c>
      <c r="O58" s="31"/>
      <c r="P58" s="31">
        <v>1</v>
      </c>
      <c r="Q58" s="31"/>
      <c r="R58" s="31"/>
      <c r="S58" s="31"/>
      <c r="T58" s="31"/>
      <c r="U58" s="31"/>
      <c r="V58" s="168" t="s">
        <v>436</v>
      </c>
      <c r="W58" s="36" t="s">
        <v>440</v>
      </c>
      <c r="X58" s="36">
        <v>-2</v>
      </c>
      <c r="Y58" s="36">
        <f t="shared" ca="1" si="45"/>
        <v>2</v>
      </c>
      <c r="Z58" s="36"/>
      <c r="AA58" s="176" t="str">
        <f t="shared" si="50"/>
        <v xml:space="preserve">Fast, Off-hand+1, </v>
      </c>
      <c r="AB58" s="176" t="str">
        <f t="shared" si="46"/>
        <v>Fast, Off-hand+1</v>
      </c>
      <c r="AC58" s="176">
        <f t="shared" si="47"/>
        <v>0</v>
      </c>
      <c r="AD58" s="176">
        <f t="shared" si="48"/>
        <v>0</v>
      </c>
      <c r="AE58" s="176">
        <f>IF('Char Sheet p1'!B45=$AE$51,'Char Sheet p1'!P45,0)</f>
        <v>0</v>
      </c>
      <c r="AG58" s="32" t="s">
        <v>847</v>
      </c>
      <c r="AH58" s="34" t="s">
        <v>880</v>
      </c>
      <c r="AI58" s="34" t="s">
        <v>919</v>
      </c>
      <c r="AJ58" s="31"/>
      <c r="AK58" s="31"/>
      <c r="AL58" s="31" t="str">
        <f t="shared" si="31"/>
        <v/>
      </c>
      <c r="AM58" s="31">
        <f ca="1">N(AND(marksmanship&gt;4,SUMIF(marspec,"Bows",marspecval)&gt;2))</f>
        <v>0</v>
      </c>
      <c r="AN58" s="31">
        <f t="shared" si="24"/>
        <v>57</v>
      </c>
      <c r="AO58" s="35" t="s">
        <v>61</v>
      </c>
      <c r="AP58" s="134"/>
      <c r="AQ58" s="47"/>
      <c r="AR58" s="134"/>
      <c r="AS58" s="47"/>
      <c r="AT58" s="134"/>
      <c r="AU58" s="47"/>
      <c r="AV58" s="134"/>
      <c r="AW58" s="47"/>
      <c r="AX58" s="134"/>
      <c r="AY58" s="47"/>
      <c r="AZ58" s="134"/>
      <c r="BA58" s="47"/>
      <c r="BB58" s="134"/>
      <c r="BC58" s="47"/>
      <c r="BD58" s="134"/>
      <c r="BE58" s="47"/>
      <c r="BF58" s="134"/>
      <c r="BG58" s="47"/>
      <c r="BH58" s="134"/>
      <c r="BI58" s="47"/>
      <c r="BJ58" s="134"/>
      <c r="BK58" s="47"/>
      <c r="BL58" s="134"/>
      <c r="BM58" s="47"/>
      <c r="BN58" s="134"/>
      <c r="BO58" s="47"/>
      <c r="BP58" s="134"/>
      <c r="BQ58" s="47"/>
      <c r="BR58" s="134"/>
      <c r="BS58" s="47"/>
      <c r="BT58" s="134"/>
      <c r="BU58" s="47"/>
      <c r="BV58" s="134"/>
      <c r="BW58" s="47"/>
      <c r="BX58" s="134"/>
      <c r="BY58" s="47"/>
      <c r="BZ58" s="134"/>
      <c r="CA58" s="47"/>
      <c r="CB58" s="120"/>
      <c r="CC58" s="120"/>
      <c r="CD58" s="120"/>
      <c r="CE58" s="120"/>
      <c r="CF58" s="120"/>
      <c r="CG58" s="120"/>
      <c r="CH58" s="120"/>
      <c r="CI58" s="120"/>
      <c r="CJ58" s="120"/>
      <c r="CK58" s="179" t="str">
        <f t="shared" ca="1" si="1"/>
        <v/>
      </c>
      <c r="CL58" s="37" t="str">
        <f t="shared" ca="1" si="32"/>
        <v>Talented (Warfare)</v>
      </c>
      <c r="CM58" s="36" t="str">
        <f t="shared" ca="1" si="16"/>
        <v/>
      </c>
      <c r="CN58" s="37" t="str">
        <f ca="1">IF($AN58&gt;CN$1,"",INDEX($AG$2:$AG$226,SMALL(CM$2:$CM$226,$AN58),1))</f>
        <v>Talented (Warfare)</v>
      </c>
      <c r="CO58" s="36" t="str">
        <f t="shared" ca="1" si="17"/>
        <v/>
      </c>
      <c r="CP58" s="37" t="str">
        <f t="shared" ca="1" si="18"/>
        <v>Talented (Warfare)</v>
      </c>
      <c r="CS58" s="28" t="str">
        <f t="shared" ca="1" si="3"/>
        <v/>
      </c>
      <c r="CT58" s="37" t="str">
        <f t="shared" ca="1" si="33"/>
        <v>Talented (Will)</v>
      </c>
      <c r="CU58" s="28" t="str">
        <f t="shared" ca="1" si="3"/>
        <v/>
      </c>
      <c r="CV58" s="37" t="str">
        <f t="shared" ca="1" si="34"/>
        <v>Talented (Will)</v>
      </c>
      <c r="CW58" s="28" t="str">
        <f t="shared" ca="1" si="6"/>
        <v/>
      </c>
      <c r="CX58" s="37" t="str">
        <f t="shared" ca="1" si="35"/>
        <v>Talented (Will)</v>
      </c>
      <c r="CY58" s="28" t="str">
        <f t="shared" ca="1" si="8"/>
        <v/>
      </c>
      <c r="CZ58" s="37" t="str">
        <f t="shared" ca="1" si="35"/>
        <v>Talented (Will)</v>
      </c>
      <c r="DA58" s="28" t="str">
        <f t="shared" ca="1" si="9"/>
        <v/>
      </c>
      <c r="DB58" s="37" t="str">
        <f t="shared" ca="1" si="36"/>
        <v>Talented (Will)</v>
      </c>
      <c r="DC58" s="28" t="str">
        <f t="shared" ca="1" si="11"/>
        <v/>
      </c>
      <c r="DD58" s="37" t="str">
        <f t="shared" ca="1" si="37"/>
        <v>Talented (Will)</v>
      </c>
      <c r="DN58" s="32">
        <v>57</v>
      </c>
      <c r="DO58" s="34" t="s">
        <v>651</v>
      </c>
      <c r="DP58" s="38" t="str">
        <f t="shared" si="51"/>
        <v>Swim</v>
      </c>
      <c r="DQ58" s="173" t="str">
        <f t="shared" si="19"/>
        <v>(Athl) Swim</v>
      </c>
      <c r="DR58" s="36">
        <f t="shared" si="20"/>
        <v>57</v>
      </c>
      <c r="DS58" s="37" t="str">
        <f t="shared" si="21"/>
        <v>(Stat) Tournaments</v>
      </c>
      <c r="DT58" s="237">
        <f>CharGen!AD32</f>
        <v>0</v>
      </c>
      <c r="DU58" s="238">
        <f>IF(DT58=0,0,CharGen!AC32)</f>
        <v>0</v>
      </c>
      <c r="DV58" s="154">
        <f t="shared" si="14"/>
        <v>0</v>
      </c>
      <c r="DW58" s="243">
        <f>IF(COUNTIF('Char Sheet p1'!$AP$7:$AP$35,DQ58)=0,0,ROUNDDOWN(SUMIF('Char Sheet p1'!$AP$7:$AP$35,DQ58,'Char Sheet p1'!$AQ$7:$AQ$35)/10,0))</f>
        <v>0</v>
      </c>
      <c r="DX58" s="240">
        <f t="shared" si="22"/>
        <v>0</v>
      </c>
      <c r="DY58" s="36">
        <f>DY57+1</f>
        <v>5</v>
      </c>
      <c r="DZ58" s="36" t="str">
        <f t="shared" si="15"/>
        <v/>
      </c>
      <c r="EE58" s="36">
        <f t="shared" si="52"/>
        <v>4</v>
      </c>
    </row>
    <row r="59" spans="1:135">
      <c r="A59" s="138">
        <f t="shared" si="39"/>
        <v>0</v>
      </c>
      <c r="B59" s="168">
        <f t="shared" si="40"/>
        <v>0</v>
      </c>
      <c r="C59" s="32" t="s">
        <v>366</v>
      </c>
      <c r="D59" s="34" t="s">
        <v>675</v>
      </c>
      <c r="E59" s="31">
        <v>2</v>
      </c>
      <c r="F59" s="31">
        <f t="shared" ca="1" si="41"/>
        <v>-2</v>
      </c>
      <c r="G59" s="34" t="s">
        <v>672</v>
      </c>
      <c r="H59" s="168">
        <f t="shared" ca="1" si="43"/>
        <v>1</v>
      </c>
      <c r="I59" s="168" t="str">
        <f t="shared" ca="1" si="44"/>
        <v/>
      </c>
      <c r="J59" s="154"/>
      <c r="K59" s="102"/>
      <c r="L59" s="31" t="s">
        <v>423</v>
      </c>
      <c r="M59" s="31"/>
      <c r="N59" s="31"/>
      <c r="O59" s="31"/>
      <c r="P59" s="31"/>
      <c r="Q59" s="31"/>
      <c r="R59" s="31"/>
      <c r="S59" s="31"/>
      <c r="T59" s="31"/>
      <c r="U59" s="31"/>
      <c r="V59" s="168" t="s">
        <v>417</v>
      </c>
      <c r="W59" s="36" t="s">
        <v>441</v>
      </c>
      <c r="X59" s="36">
        <v>-1</v>
      </c>
      <c r="Y59" s="36">
        <f t="shared" ca="1" si="45"/>
        <v>3</v>
      </c>
      <c r="Z59" s="36"/>
      <c r="AA59" s="176" t="str">
        <f t="shared" si="50"/>
        <v xml:space="preserve">Reach, Entangling, </v>
      </c>
      <c r="AB59" s="176" t="str">
        <f t="shared" si="46"/>
        <v>Reach, Entangling</v>
      </c>
      <c r="AC59" s="176">
        <f t="shared" si="47"/>
        <v>0</v>
      </c>
      <c r="AD59" s="176">
        <f t="shared" si="48"/>
        <v>0</v>
      </c>
      <c r="AE59" s="176">
        <f>IF('Char Sheet p1'!B46=$AE$51,'Char Sheet p1'!P46,0)</f>
        <v>0</v>
      </c>
      <c r="AG59" s="32" t="s">
        <v>870</v>
      </c>
      <c r="AH59" s="34" t="s">
        <v>881</v>
      </c>
      <c r="AI59" s="34" t="s">
        <v>943</v>
      </c>
      <c r="AJ59" s="31"/>
      <c r="AK59" s="31"/>
      <c r="AL59" s="31" t="str">
        <f t="shared" si="31"/>
        <v/>
      </c>
      <c r="AM59" s="31">
        <f>N(will&gt;3)</f>
        <v>0</v>
      </c>
      <c r="AN59" s="31">
        <f t="shared" si="24"/>
        <v>58</v>
      </c>
      <c r="AO59" s="35" t="s">
        <v>62</v>
      </c>
      <c r="AP59" s="134"/>
      <c r="AQ59" s="47"/>
      <c r="AR59" s="134"/>
      <c r="AS59" s="47"/>
      <c r="AT59" s="134"/>
      <c r="AU59" s="47"/>
      <c r="AV59" s="134"/>
      <c r="AW59" s="47"/>
      <c r="AX59" s="134"/>
      <c r="AY59" s="47"/>
      <c r="AZ59" s="134"/>
      <c r="BA59" s="47"/>
      <c r="BB59" s="134"/>
      <c r="BC59" s="47"/>
      <c r="BD59" s="134"/>
      <c r="BE59" s="47"/>
      <c r="BF59" s="134"/>
      <c r="BG59" s="47"/>
      <c r="BH59" s="134"/>
      <c r="BI59" s="47"/>
      <c r="BJ59" s="134"/>
      <c r="BK59" s="47"/>
      <c r="BL59" s="134"/>
      <c r="BM59" s="47"/>
      <c r="BN59" s="134"/>
      <c r="BO59" s="47"/>
      <c r="BP59" s="134"/>
      <c r="BQ59" s="47"/>
      <c r="BR59" s="134"/>
      <c r="BS59" s="47"/>
      <c r="BT59" s="134"/>
      <c r="BU59" s="47"/>
      <c r="BV59" s="134"/>
      <c r="BW59" s="47"/>
      <c r="BX59" s="134"/>
      <c r="BY59" s="47"/>
      <c r="BZ59" s="134"/>
      <c r="CA59" s="47"/>
      <c r="CB59" s="120"/>
      <c r="CC59" s="120"/>
      <c r="CD59" s="120"/>
      <c r="CE59" s="120"/>
      <c r="CF59" s="120"/>
      <c r="CG59" s="120"/>
      <c r="CH59" s="120"/>
      <c r="CI59" s="120"/>
      <c r="CJ59" s="120"/>
      <c r="CK59" s="179" t="str">
        <f t="shared" si="1"/>
        <v/>
      </c>
      <c r="CL59" s="37" t="str">
        <f t="shared" ca="1" si="32"/>
        <v>Talented (Will)</v>
      </c>
      <c r="CM59" s="36" t="str">
        <f t="shared" si="16"/>
        <v/>
      </c>
      <c r="CN59" s="37" t="str">
        <f ca="1">IF($AN59&gt;CN$1,"",INDEX($AG$2:$AG$226,SMALL(CM$2:$CM$226,$AN59),1))</f>
        <v>Talented (Will)</v>
      </c>
      <c r="CO59" s="36" t="str">
        <f t="shared" si="17"/>
        <v/>
      </c>
      <c r="CP59" s="37" t="str">
        <f t="shared" ca="1" si="18"/>
        <v>Talented (Will)</v>
      </c>
      <c r="CS59" s="28" t="str">
        <f t="shared" si="3"/>
        <v/>
      </c>
      <c r="CT59" s="37" t="str">
        <f t="shared" ca="1" si="33"/>
        <v>Third Eye</v>
      </c>
      <c r="CU59" s="28" t="str">
        <f t="shared" si="3"/>
        <v/>
      </c>
      <c r="CV59" s="37" t="str">
        <f t="shared" ca="1" si="34"/>
        <v>Third Eye</v>
      </c>
      <c r="CW59" s="28" t="str">
        <f t="shared" si="6"/>
        <v/>
      </c>
      <c r="CX59" s="37" t="str">
        <f t="shared" ca="1" si="35"/>
        <v>Third Eye</v>
      </c>
      <c r="CY59" s="28" t="str">
        <f t="shared" si="8"/>
        <v/>
      </c>
      <c r="CZ59" s="37" t="str">
        <f t="shared" ca="1" si="35"/>
        <v>Third Eye</v>
      </c>
      <c r="DA59" s="28" t="str">
        <f t="shared" si="9"/>
        <v/>
      </c>
      <c r="DB59" s="37" t="str">
        <f t="shared" ca="1" si="36"/>
        <v>Third Eye</v>
      </c>
      <c r="DC59" s="28" t="str">
        <f t="shared" si="11"/>
        <v/>
      </c>
      <c r="DD59" s="37" t="str">
        <f t="shared" ca="1" si="37"/>
        <v>Third Eye</v>
      </c>
      <c r="DN59" s="32">
        <v>58</v>
      </c>
      <c r="DO59" s="34" t="s">
        <v>651</v>
      </c>
      <c r="DP59" s="38" t="str">
        <f t="shared" si="51"/>
        <v>Throw</v>
      </c>
      <c r="DQ59" s="173" t="str">
        <f t="shared" si="19"/>
        <v>(Athl) Throw</v>
      </c>
      <c r="DR59" s="36">
        <f t="shared" si="20"/>
        <v>58</v>
      </c>
      <c r="DS59" s="37" t="str">
        <f t="shared" si="21"/>
        <v>(Stea) Blend In</v>
      </c>
      <c r="DV59" s="176">
        <f t="shared" si="14"/>
        <v>0</v>
      </c>
      <c r="DW59" s="243">
        <f>IF(COUNTIF('Char Sheet p1'!$AP$7:$AP$35,DQ59)=0,0,ROUNDDOWN(SUMIF('Char Sheet p1'!$AP$7:$AP$35,DQ59,'Char Sheet p1'!$AQ$7:$AQ$35)/10,0))</f>
        <v>0</v>
      </c>
      <c r="DX59" s="240">
        <f t="shared" si="22"/>
        <v>0</v>
      </c>
      <c r="DY59" s="36">
        <f t="shared" ref="DY59:DY79" si="53">DY58+1</f>
        <v>6</v>
      </c>
      <c r="DZ59" s="36" t="str">
        <f t="shared" si="15"/>
        <v/>
      </c>
      <c r="EE59" s="36">
        <f t="shared" si="52"/>
        <v>4</v>
      </c>
    </row>
    <row r="60" spans="1:135">
      <c r="A60" s="138">
        <f t="shared" si="39"/>
        <v>0</v>
      </c>
      <c r="B60" s="168">
        <f t="shared" si="40"/>
        <v>0</v>
      </c>
      <c r="C60" s="32" t="s">
        <v>367</v>
      </c>
      <c r="D60" s="34" t="s">
        <v>676</v>
      </c>
      <c r="E60" s="31">
        <v>1</v>
      </c>
      <c r="F60" s="31">
        <f t="shared" ca="1" si="41"/>
        <v>-1</v>
      </c>
      <c r="G60" s="34" t="s">
        <v>672</v>
      </c>
      <c r="H60" s="168">
        <f t="shared" ca="1" si="43"/>
        <v>2</v>
      </c>
      <c r="I60" s="168" t="str">
        <f t="shared" ca="1" si="44"/>
        <v/>
      </c>
      <c r="J60" s="154"/>
      <c r="K60" s="102"/>
      <c r="L60" s="31"/>
      <c r="M60" s="31">
        <f>1+COUNTIF(qualities,$AG$26)</f>
        <v>1</v>
      </c>
      <c r="N60" s="31" t="s">
        <v>848</v>
      </c>
      <c r="O60" s="31"/>
      <c r="P60" s="31"/>
      <c r="Q60" s="31"/>
      <c r="R60" s="31"/>
      <c r="S60" s="31"/>
      <c r="T60" s="31"/>
      <c r="U60" s="31"/>
      <c r="V60" s="168" t="s">
        <v>436</v>
      </c>
      <c r="W60" s="36" t="s">
        <v>441</v>
      </c>
      <c r="X60" s="36"/>
      <c r="Y60" s="36">
        <f t="shared" ca="1" si="45"/>
        <v>4</v>
      </c>
      <c r="Z60" s="36"/>
      <c r="AA60" s="176" t="str">
        <f t="shared" si="50"/>
        <v xml:space="preserve">Def+1, Fast, </v>
      </c>
      <c r="AB60" s="176" t="str">
        <f t="shared" si="46"/>
        <v>Def+1, Fast</v>
      </c>
      <c r="AC60" s="176">
        <f t="shared" si="47"/>
        <v>0</v>
      </c>
      <c r="AD60" s="176">
        <f t="shared" si="48"/>
        <v>0</v>
      </c>
      <c r="AE60" s="176">
        <f>IF('Char Sheet p1'!B48=$AE$51,'Char Sheet p1'!P48,0)</f>
        <v>0</v>
      </c>
      <c r="AG60" s="32" t="s">
        <v>755</v>
      </c>
      <c r="AH60" s="34" t="s">
        <v>773</v>
      </c>
      <c r="AI60" s="34" t="s">
        <v>791</v>
      </c>
      <c r="AJ60" s="31"/>
      <c r="AK60" s="31"/>
      <c r="AL60" s="31" t="str">
        <f t="shared" si="31"/>
        <v/>
      </c>
      <c r="AM60" s="31">
        <f ca="1">N(AND(cunning&gt;1,SUMIF(cunspec,"Memory",cunspecval)&gt;0))</f>
        <v>0</v>
      </c>
      <c r="AN60" s="31">
        <f t="shared" si="24"/>
        <v>59</v>
      </c>
      <c r="AO60" s="35" t="s">
        <v>808</v>
      </c>
      <c r="AP60" s="134"/>
      <c r="AQ60" s="47"/>
      <c r="AR60" s="134"/>
      <c r="AS60" s="47"/>
      <c r="AT60" s="134"/>
      <c r="AU60" s="47"/>
      <c r="AV60" s="134"/>
      <c r="AW60" s="47"/>
      <c r="AX60" s="134"/>
      <c r="AY60" s="47"/>
      <c r="AZ60" s="134"/>
      <c r="BA60" s="47"/>
      <c r="BB60" s="134"/>
      <c r="BC60" s="47"/>
      <c r="BD60" s="134"/>
      <c r="BE60" s="47"/>
      <c r="BF60" s="134"/>
      <c r="BG60" s="47"/>
      <c r="BH60" s="134"/>
      <c r="BI60" s="47"/>
      <c r="BJ60" s="134"/>
      <c r="BK60" s="47"/>
      <c r="BL60" s="134"/>
      <c r="BM60" s="47"/>
      <c r="BN60" s="134"/>
      <c r="BO60" s="47"/>
      <c r="BP60" s="134"/>
      <c r="BQ60" s="47"/>
      <c r="BR60" s="134"/>
      <c r="BS60" s="47"/>
      <c r="BT60" s="134"/>
      <c r="BU60" s="47"/>
      <c r="BV60" s="134"/>
      <c r="BW60" s="47"/>
      <c r="BX60" s="134"/>
      <c r="BY60" s="47"/>
      <c r="BZ60" s="134"/>
      <c r="CA60" s="47"/>
      <c r="CB60" s="120"/>
      <c r="CC60" s="120"/>
      <c r="CD60" s="120"/>
      <c r="CE60" s="120"/>
      <c r="CF60" s="120"/>
      <c r="CG60" s="120"/>
      <c r="CH60" s="120"/>
      <c r="CI60" s="120"/>
      <c r="CJ60" s="120"/>
      <c r="CK60" s="179" t="str">
        <f t="shared" ca="1" si="1"/>
        <v/>
      </c>
      <c r="CL60" s="37" t="str">
        <f t="shared" ca="1" si="32"/>
        <v>Third Eye</v>
      </c>
      <c r="CM60" s="36" t="str">
        <f t="shared" ca="1" si="16"/>
        <v/>
      </c>
      <c r="CN60" s="37" t="str">
        <f ca="1">IF($AN60&gt;CN$1,"",INDEX($AG$2:$AG$226,SMALL(CM$2:$CM$226,$AN60),1))</f>
        <v>Third Eye</v>
      </c>
      <c r="CO60" s="36" t="str">
        <f t="shared" ca="1" si="17"/>
        <v/>
      </c>
      <c r="CP60" s="37" t="str">
        <f t="shared" ca="1" si="18"/>
        <v>Third Eye</v>
      </c>
      <c r="CS60" s="28" t="str">
        <f t="shared" ca="1" si="3"/>
        <v/>
      </c>
      <c r="CT60" s="37" t="str">
        <f t="shared" ca="1" si="33"/>
        <v>Trade</v>
      </c>
      <c r="CU60" s="28" t="str">
        <f t="shared" ca="1" si="3"/>
        <v/>
      </c>
      <c r="CV60" s="37" t="str">
        <f t="shared" ca="1" si="34"/>
        <v>Trade</v>
      </c>
      <c r="CW60" s="28" t="str">
        <f t="shared" ca="1" si="6"/>
        <v/>
      </c>
      <c r="CX60" s="37" t="str">
        <f t="shared" ca="1" si="35"/>
        <v>Trade</v>
      </c>
      <c r="CY60" s="28" t="str">
        <f t="shared" ca="1" si="8"/>
        <v/>
      </c>
      <c r="CZ60" s="37" t="str">
        <f t="shared" ca="1" si="35"/>
        <v>Trade</v>
      </c>
      <c r="DA60" s="28" t="str">
        <f t="shared" ca="1" si="9"/>
        <v/>
      </c>
      <c r="DB60" s="37" t="str">
        <f t="shared" ca="1" si="36"/>
        <v>Trade</v>
      </c>
      <c r="DC60" s="28" t="str">
        <f t="shared" ca="1" si="11"/>
        <v/>
      </c>
      <c r="DD60" s="37" t="str">
        <f t="shared" ca="1" si="37"/>
        <v>Trade</v>
      </c>
      <c r="DN60" s="32">
        <v>59</v>
      </c>
      <c r="DO60" s="34" t="s">
        <v>651</v>
      </c>
      <c r="DP60" s="38">
        <f t="shared" si="51"/>
        <v>0</v>
      </c>
      <c r="DQ60" s="173" t="str">
        <f t="shared" si="19"/>
        <v>(Athl) 0</v>
      </c>
      <c r="DR60" s="36" t="str">
        <f t="shared" si="20"/>
        <v/>
      </c>
      <c r="DS60" s="37" t="str">
        <f t="shared" si="21"/>
        <v>(Stea) Sneak</v>
      </c>
      <c r="DV60" s="176">
        <f t="shared" si="14"/>
        <v>0</v>
      </c>
      <c r="DW60" s="243">
        <f>IF(COUNTIF('Char Sheet p1'!$AP$7:$AP$35,DQ60)=0,0,ROUNDDOWN(SUMIF('Char Sheet p1'!$AP$7:$AP$35,DQ60,'Char Sheet p1'!$AQ$7:$AQ$35)/10,0))</f>
        <v>0</v>
      </c>
      <c r="DX60" s="240">
        <f t="shared" si="22"/>
        <v>0</v>
      </c>
      <c r="DY60" s="36">
        <f t="shared" si="53"/>
        <v>7</v>
      </c>
      <c r="DZ60" s="36" t="str">
        <f t="shared" si="15"/>
        <v/>
      </c>
      <c r="EE60" s="36">
        <f t="shared" si="52"/>
        <v>4</v>
      </c>
    </row>
    <row r="61" spans="1:135">
      <c r="A61" s="138">
        <f t="shared" si="39"/>
        <v>0</v>
      </c>
      <c r="B61" s="168">
        <f t="shared" si="40"/>
        <v>0</v>
      </c>
      <c r="C61" s="32" t="s">
        <v>368</v>
      </c>
      <c r="D61" s="34" t="s">
        <v>676</v>
      </c>
      <c r="E61" s="31">
        <v>1</v>
      </c>
      <c r="F61" s="31">
        <f t="shared" ca="1" si="41"/>
        <v>-1</v>
      </c>
      <c r="G61" s="34" t="s">
        <v>672</v>
      </c>
      <c r="H61" s="168">
        <f t="shared" ca="1" si="43"/>
        <v>2</v>
      </c>
      <c r="I61" s="168" t="str">
        <f t="shared" ca="1" si="44"/>
        <v/>
      </c>
      <c r="J61" s="154"/>
      <c r="K61" s="102"/>
      <c r="L61" s="31"/>
      <c r="M61" s="31">
        <f>2+COUNTIF(qualities,$AG$26)</f>
        <v>2</v>
      </c>
      <c r="N61" s="31"/>
      <c r="O61" s="31"/>
      <c r="P61" s="31">
        <v>1</v>
      </c>
      <c r="Q61" s="31"/>
      <c r="R61" s="31"/>
      <c r="S61" s="31"/>
      <c r="T61" s="31"/>
      <c r="U61" s="31"/>
      <c r="V61" s="168" t="s">
        <v>436</v>
      </c>
      <c r="W61" s="36" t="s">
        <v>441</v>
      </c>
      <c r="X61" s="36">
        <v>-1</v>
      </c>
      <c r="Y61" s="36">
        <f t="shared" ca="1" si="45"/>
        <v>3</v>
      </c>
      <c r="Z61" s="36"/>
      <c r="AA61" s="176" t="str">
        <f t="shared" si="50"/>
        <v xml:space="preserve">Def+2, Off-hand+1, </v>
      </c>
      <c r="AB61" s="176" t="str">
        <f t="shared" si="46"/>
        <v>Def+2, Off-hand+1</v>
      </c>
      <c r="AC61" s="176">
        <f t="shared" si="47"/>
        <v>0</v>
      </c>
      <c r="AD61" s="176">
        <f t="shared" si="48"/>
        <v>0</v>
      </c>
      <c r="AE61" s="177">
        <f>IF('Char Sheet p1'!B49=$AE$51,'Char Sheet p1'!P49,0)</f>
        <v>0</v>
      </c>
      <c r="AG61" s="32" t="s">
        <v>871</v>
      </c>
      <c r="AH61" s="34" t="s">
        <v>881</v>
      </c>
      <c r="AI61" s="34" t="s">
        <v>944</v>
      </c>
      <c r="AJ61" s="31"/>
      <c r="AK61" s="31"/>
      <c r="AL61" s="31" t="str">
        <f t="shared" si="31"/>
        <v/>
      </c>
      <c r="AM61" s="31">
        <f>N(AND(language&gt;3, persuasion&gt;3))</f>
        <v>0</v>
      </c>
      <c r="AN61" s="31">
        <f t="shared" si="24"/>
        <v>60</v>
      </c>
      <c r="AO61" s="35" t="s">
        <v>63</v>
      </c>
      <c r="AP61" s="134"/>
      <c r="AQ61" s="47"/>
      <c r="AR61" s="134"/>
      <c r="AS61" s="47"/>
      <c r="AT61" s="134"/>
      <c r="AU61" s="47"/>
      <c r="AV61" s="134"/>
      <c r="AW61" s="47"/>
      <c r="AX61" s="134"/>
      <c r="AY61" s="47"/>
      <c r="AZ61" s="134"/>
      <c r="BA61" s="47"/>
      <c r="BB61" s="134"/>
      <c r="BC61" s="47"/>
      <c r="BD61" s="134"/>
      <c r="BE61" s="47"/>
      <c r="BF61" s="134"/>
      <c r="BG61" s="47"/>
      <c r="BH61" s="134"/>
      <c r="BI61" s="47"/>
      <c r="BJ61" s="134"/>
      <c r="BK61" s="47"/>
      <c r="BL61" s="134"/>
      <c r="BM61" s="47"/>
      <c r="BN61" s="134"/>
      <c r="BO61" s="47"/>
      <c r="BP61" s="134"/>
      <c r="BQ61" s="47"/>
      <c r="BR61" s="134"/>
      <c r="BS61" s="47"/>
      <c r="BT61" s="134"/>
      <c r="BU61" s="47"/>
      <c r="BV61" s="134"/>
      <c r="BW61" s="47"/>
      <c r="BX61" s="134"/>
      <c r="BY61" s="47"/>
      <c r="BZ61" s="134"/>
      <c r="CA61" s="47"/>
      <c r="CB61" s="120"/>
      <c r="CC61" s="120"/>
      <c r="CD61" s="120"/>
      <c r="CE61" s="120"/>
      <c r="CF61" s="120"/>
      <c r="CG61" s="120"/>
      <c r="CH61" s="120"/>
      <c r="CI61" s="120"/>
      <c r="CJ61" s="120"/>
      <c r="CK61" s="179" t="str">
        <f t="shared" si="1"/>
        <v/>
      </c>
      <c r="CL61" s="37" t="str">
        <f t="shared" ca="1" si="32"/>
        <v>Trade</v>
      </c>
      <c r="CM61" s="36" t="str">
        <f t="shared" si="16"/>
        <v/>
      </c>
      <c r="CN61" s="37" t="str">
        <f ca="1">IF($AN61&gt;CN$1,"",INDEX($AG$2:$AG$226,SMALL(CM$2:$CM$226,$AN61),1))</f>
        <v>Trade</v>
      </c>
      <c r="CO61" s="36" t="str">
        <f t="shared" si="17"/>
        <v/>
      </c>
      <c r="CP61" s="37" t="str">
        <f t="shared" ca="1" si="18"/>
        <v>Trade</v>
      </c>
      <c r="CS61" s="28" t="str">
        <f t="shared" si="3"/>
        <v/>
      </c>
      <c r="CT61" s="37" t="str">
        <f t="shared" ca="1" si="33"/>
        <v>Treacherous</v>
      </c>
      <c r="CU61" s="28" t="str">
        <f t="shared" si="3"/>
        <v/>
      </c>
      <c r="CV61" s="37" t="str">
        <f t="shared" ca="1" si="34"/>
        <v>Treacherous</v>
      </c>
      <c r="CW61" s="28" t="str">
        <f t="shared" si="6"/>
        <v/>
      </c>
      <c r="CX61" s="37" t="str">
        <f t="shared" ca="1" si="35"/>
        <v>Treacherous</v>
      </c>
      <c r="CY61" s="28" t="str">
        <f t="shared" si="8"/>
        <v/>
      </c>
      <c r="CZ61" s="37" t="str">
        <f t="shared" ca="1" si="35"/>
        <v>Treacherous</v>
      </c>
      <c r="DA61" s="28" t="str">
        <f t="shared" si="9"/>
        <v/>
      </c>
      <c r="DB61" s="37" t="str">
        <f t="shared" ca="1" si="36"/>
        <v>Treacherous</v>
      </c>
      <c r="DC61" s="28" t="str">
        <f t="shared" si="11"/>
        <v/>
      </c>
      <c r="DD61" s="37" t="str">
        <f t="shared" ca="1" si="37"/>
        <v>Treacherous</v>
      </c>
      <c r="DN61" s="32">
        <v>60</v>
      </c>
      <c r="DO61" s="34" t="s">
        <v>651</v>
      </c>
      <c r="DP61" s="38">
        <f t="shared" si="51"/>
        <v>0</v>
      </c>
      <c r="DQ61" s="173" t="str">
        <f t="shared" si="19"/>
        <v>(Athl) 0</v>
      </c>
      <c r="DR61" s="36" t="str">
        <f t="shared" si="20"/>
        <v/>
      </c>
      <c r="DS61" s="37" t="str">
        <f t="shared" si="21"/>
        <v>(Surv) Forage</v>
      </c>
      <c r="DV61" s="176">
        <f t="shared" si="14"/>
        <v>0</v>
      </c>
      <c r="DW61" s="243">
        <f>IF(COUNTIF('Char Sheet p1'!$AP$7:$AP$35,DQ61)=0,0,ROUNDDOWN(SUMIF('Char Sheet p1'!$AP$7:$AP$35,DQ61,'Char Sheet p1'!$AQ$7:$AQ$35)/10,0))</f>
        <v>0</v>
      </c>
      <c r="DX61" s="240">
        <f t="shared" si="22"/>
        <v>0</v>
      </c>
      <c r="DY61" s="36">
        <f t="shared" si="53"/>
        <v>8</v>
      </c>
      <c r="DZ61" s="36" t="str">
        <f t="shared" si="15"/>
        <v/>
      </c>
      <c r="EE61" s="36">
        <f t="shared" si="52"/>
        <v>4</v>
      </c>
    </row>
    <row r="62" spans="1:135">
      <c r="A62" s="138">
        <f t="shared" si="39"/>
        <v>0</v>
      </c>
      <c r="B62" s="168">
        <f t="shared" si="40"/>
        <v>0</v>
      </c>
      <c r="C62" s="32" t="s">
        <v>369</v>
      </c>
      <c r="D62" s="34" t="s">
        <v>676</v>
      </c>
      <c r="E62" s="31"/>
      <c r="F62" s="31">
        <f t="shared" ca="1" si="41"/>
        <v>0</v>
      </c>
      <c r="G62" s="34" t="s">
        <v>672</v>
      </c>
      <c r="H62" s="168">
        <f t="shared" ca="1" si="43"/>
        <v>3</v>
      </c>
      <c r="I62" s="168" t="str">
        <f t="shared" ca="1" si="44"/>
        <v/>
      </c>
      <c r="J62" s="154"/>
      <c r="K62" s="102"/>
      <c r="L62" s="31"/>
      <c r="M62" s="31">
        <f>COUNTIF(qualities,$AG$26)</f>
        <v>0</v>
      </c>
      <c r="N62" s="31" t="s">
        <v>848</v>
      </c>
      <c r="O62" s="31"/>
      <c r="P62" s="31"/>
      <c r="Q62" s="31"/>
      <c r="R62" s="31"/>
      <c r="S62" s="31"/>
      <c r="T62" s="31"/>
      <c r="U62" s="31"/>
      <c r="V62" s="168" t="s">
        <v>436</v>
      </c>
      <c r="W62" s="36" t="s">
        <v>441</v>
      </c>
      <c r="X62" s="36">
        <v>-1</v>
      </c>
      <c r="Y62" s="36">
        <f t="shared" ca="1" si="45"/>
        <v>3</v>
      </c>
      <c r="Z62" s="36"/>
      <c r="AA62" s="176" t="str">
        <f t="shared" si="50"/>
        <v xml:space="preserve">Fast, </v>
      </c>
      <c r="AB62" s="176" t="str">
        <f t="shared" si="46"/>
        <v>Fast</v>
      </c>
      <c r="AC62" s="176">
        <f t="shared" si="47"/>
        <v>0</v>
      </c>
      <c r="AD62" s="176">
        <f t="shared" si="48"/>
        <v>0</v>
      </c>
      <c r="AE62" s="25"/>
      <c r="AG62" s="32" t="s">
        <v>756</v>
      </c>
      <c r="AH62" s="34" t="s">
        <v>773</v>
      </c>
      <c r="AI62" s="34" t="s">
        <v>792</v>
      </c>
      <c r="AJ62" s="31"/>
      <c r="AK62" s="31"/>
      <c r="AL62" s="31" t="str">
        <f t="shared" si="31"/>
        <v/>
      </c>
      <c r="AM62" s="31">
        <f>N(knowledge&gt;2)</f>
        <v>0</v>
      </c>
      <c r="AN62" s="31">
        <f t="shared" si="24"/>
        <v>61</v>
      </c>
      <c r="AO62" s="35" t="s">
        <v>809</v>
      </c>
      <c r="AP62" s="134"/>
      <c r="AQ62" s="47"/>
      <c r="AR62" s="134"/>
      <c r="AS62" s="47"/>
      <c r="AT62" s="134"/>
      <c r="AU62" s="47"/>
      <c r="AV62" s="134"/>
      <c r="AW62" s="47"/>
      <c r="AX62" s="134"/>
      <c r="AY62" s="47"/>
      <c r="AZ62" s="134"/>
      <c r="BA62" s="47"/>
      <c r="BB62" s="134"/>
      <c r="BC62" s="47"/>
      <c r="BD62" s="134"/>
      <c r="BE62" s="47"/>
      <c r="BF62" s="134"/>
      <c r="BG62" s="47"/>
      <c r="BH62" s="134"/>
      <c r="BI62" s="47"/>
      <c r="BJ62" s="134"/>
      <c r="BK62" s="47"/>
      <c r="BL62" s="134"/>
      <c r="BM62" s="47"/>
      <c r="BN62" s="134"/>
      <c r="BO62" s="47"/>
      <c r="BP62" s="134"/>
      <c r="BQ62" s="47"/>
      <c r="BR62" s="134"/>
      <c r="BS62" s="47"/>
      <c r="BT62" s="134"/>
      <c r="BU62" s="47"/>
      <c r="BV62" s="134"/>
      <c r="BW62" s="47"/>
      <c r="BX62" s="134"/>
      <c r="BY62" s="47"/>
      <c r="BZ62" s="134"/>
      <c r="CA62" s="47"/>
      <c r="CB62" s="120"/>
      <c r="CC62" s="120"/>
      <c r="CD62" s="120"/>
      <c r="CE62" s="120"/>
      <c r="CF62" s="120"/>
      <c r="CG62" s="120"/>
      <c r="CH62" s="120"/>
      <c r="CI62" s="120"/>
      <c r="CJ62" s="120"/>
      <c r="CK62" s="179" t="str">
        <f t="shared" si="1"/>
        <v/>
      </c>
      <c r="CL62" s="37" t="str">
        <f t="shared" ca="1" si="32"/>
        <v>Treacherous</v>
      </c>
      <c r="CM62" s="36" t="str">
        <f t="shared" si="16"/>
        <v/>
      </c>
      <c r="CN62" s="37" t="str">
        <f ca="1">IF($AN62&gt;CN$1,"",INDEX($AG$2:$AG$226,SMALL(CM$2:$CM$226,$AN62),1))</f>
        <v>Treacherous</v>
      </c>
      <c r="CO62" s="36" t="str">
        <f t="shared" si="17"/>
        <v/>
      </c>
      <c r="CP62" s="37" t="str">
        <f t="shared" ca="1" si="18"/>
        <v>Treacherous</v>
      </c>
      <c r="CS62" s="28" t="str">
        <f t="shared" si="3"/>
        <v/>
      </c>
      <c r="CT62" s="37" t="str">
        <f t="shared" ca="1" si="33"/>
        <v>Ward</v>
      </c>
      <c r="CU62" s="28" t="str">
        <f t="shared" si="3"/>
        <v/>
      </c>
      <c r="CV62" s="37" t="str">
        <f t="shared" ca="1" si="34"/>
        <v>Ward</v>
      </c>
      <c r="CW62" s="28" t="str">
        <f t="shared" si="6"/>
        <v/>
      </c>
      <c r="CX62" s="37" t="str">
        <f t="shared" ca="1" si="35"/>
        <v>Ward</v>
      </c>
      <c r="CY62" s="28" t="str">
        <f t="shared" si="8"/>
        <v/>
      </c>
      <c r="CZ62" s="37" t="str">
        <f t="shared" ca="1" si="35"/>
        <v>Ward</v>
      </c>
      <c r="DA62" s="28" t="str">
        <f t="shared" si="9"/>
        <v/>
      </c>
      <c r="DB62" s="37" t="str">
        <f t="shared" ca="1" si="36"/>
        <v>Ward</v>
      </c>
      <c r="DC62" s="28" t="str">
        <f t="shared" si="11"/>
        <v/>
      </c>
      <c r="DD62" s="37" t="str">
        <f t="shared" ca="1" si="37"/>
        <v>Ward</v>
      </c>
      <c r="DN62" s="32">
        <v>61</v>
      </c>
      <c r="DO62" s="34" t="s">
        <v>651</v>
      </c>
      <c r="DP62" s="38">
        <f t="shared" si="51"/>
        <v>0</v>
      </c>
      <c r="DQ62" s="173" t="str">
        <f t="shared" si="19"/>
        <v>(Athl) 0</v>
      </c>
      <c r="DR62" s="36" t="str">
        <f t="shared" si="20"/>
        <v/>
      </c>
      <c r="DS62" s="37" t="str">
        <f t="shared" si="21"/>
        <v>(Surv) Hunt</v>
      </c>
      <c r="DV62" s="176">
        <f t="shared" si="14"/>
        <v>0</v>
      </c>
      <c r="DW62" s="243">
        <f>IF(COUNTIF('Char Sheet p1'!$AP$7:$AP$35,DQ62)=0,0,ROUNDDOWN(SUMIF('Char Sheet p1'!$AP$7:$AP$35,DQ62,'Char Sheet p1'!$AQ$7:$AQ$35)/10,0))</f>
        <v>0</v>
      </c>
      <c r="DX62" s="240">
        <f t="shared" si="22"/>
        <v>0</v>
      </c>
      <c r="DY62" s="36">
        <f t="shared" si="53"/>
        <v>9</v>
      </c>
      <c r="DZ62" s="36" t="str">
        <f t="shared" si="15"/>
        <v/>
      </c>
      <c r="EE62" s="36">
        <f t="shared" si="52"/>
        <v>4</v>
      </c>
    </row>
    <row r="63" spans="1:135">
      <c r="A63" s="138">
        <f t="shared" si="39"/>
        <v>0</v>
      </c>
      <c r="B63" s="168">
        <f t="shared" si="40"/>
        <v>0</v>
      </c>
      <c r="C63" s="32" t="s">
        <v>370</v>
      </c>
      <c r="D63" s="34" t="s">
        <v>677</v>
      </c>
      <c r="E63" s="31">
        <v>1</v>
      </c>
      <c r="F63" s="31">
        <f t="shared" ca="1" si="41"/>
        <v>-1</v>
      </c>
      <c r="G63" s="34" t="s">
        <v>672</v>
      </c>
      <c r="H63" s="168">
        <f t="shared" ca="1" si="43"/>
        <v>2</v>
      </c>
      <c r="I63" s="168" t="str">
        <f t="shared" ca="1" si="44"/>
        <v/>
      </c>
      <c r="J63" s="154"/>
      <c r="K63" s="102"/>
      <c r="L63" s="31"/>
      <c r="M63" s="31"/>
      <c r="N63" s="31" t="s">
        <v>848</v>
      </c>
      <c r="O63" s="31" t="s">
        <v>415</v>
      </c>
      <c r="P63" s="31"/>
      <c r="Q63" s="31"/>
      <c r="R63" s="31"/>
      <c r="S63" s="31"/>
      <c r="T63" s="31"/>
      <c r="U63" s="31"/>
      <c r="V63" s="168" t="s">
        <v>436</v>
      </c>
      <c r="W63" s="36" t="s">
        <v>440</v>
      </c>
      <c r="X63" s="36"/>
      <c r="Y63" s="36">
        <f t="shared" ca="1" si="45"/>
        <v>4</v>
      </c>
      <c r="Z63" s="36"/>
      <c r="AA63" s="176" t="str">
        <f t="shared" si="50"/>
        <v xml:space="preserve">Fast, Adaptable, </v>
      </c>
      <c r="AB63" s="176" t="str">
        <f t="shared" si="46"/>
        <v>Fast, Adaptable</v>
      </c>
      <c r="AC63" s="176">
        <f t="shared" si="47"/>
        <v>0</v>
      </c>
      <c r="AD63" s="176">
        <f t="shared" si="48"/>
        <v>0</v>
      </c>
      <c r="AE63" s="25"/>
      <c r="AG63" s="32" t="s">
        <v>757</v>
      </c>
      <c r="AH63" s="34" t="s">
        <v>773</v>
      </c>
      <c r="AI63" s="34"/>
      <c r="AJ63" s="31" t="s">
        <v>970</v>
      </c>
      <c r="AK63" s="31"/>
      <c r="AL63" s="31" t="str">
        <f t="shared" si="31"/>
        <v/>
      </c>
      <c r="AM63" s="31">
        <v>1</v>
      </c>
      <c r="AN63" s="31">
        <f t="shared" si="24"/>
        <v>62</v>
      </c>
      <c r="AO63" s="46" t="s">
        <v>87</v>
      </c>
      <c r="AP63" s="142"/>
      <c r="AQ63" s="46"/>
      <c r="AR63" s="142"/>
      <c r="AS63" s="46"/>
      <c r="AT63" s="142"/>
      <c r="AU63" s="46"/>
      <c r="AV63" s="142"/>
      <c r="AW63" s="46"/>
      <c r="AX63" s="142"/>
      <c r="AY63" s="46"/>
      <c r="AZ63" s="142"/>
      <c r="BA63" s="46"/>
      <c r="BB63" s="142"/>
      <c r="BC63" s="46"/>
      <c r="BD63" s="142"/>
      <c r="BE63" s="46"/>
      <c r="BF63" s="142"/>
      <c r="BG63" s="46"/>
      <c r="BH63" s="142"/>
      <c r="BI63" s="46"/>
      <c r="BJ63" s="142"/>
      <c r="BK63" s="46"/>
      <c r="BL63" s="142"/>
      <c r="BM63" s="46"/>
      <c r="BN63" s="142"/>
      <c r="BO63" s="46"/>
      <c r="BP63" s="142"/>
      <c r="BQ63" s="46"/>
      <c r="BR63" s="142"/>
      <c r="BS63" s="46"/>
      <c r="BT63" s="142"/>
      <c r="BU63" s="46"/>
      <c r="BV63" s="142"/>
      <c r="BW63" s="46"/>
      <c r="BX63" s="142"/>
      <c r="BY63" s="46"/>
      <c r="BZ63" s="142"/>
      <c r="CA63" s="46"/>
      <c r="CB63" s="124"/>
      <c r="CC63" s="124"/>
      <c r="CD63" s="124"/>
      <c r="CE63" s="124"/>
      <c r="CF63" s="124"/>
      <c r="CG63" s="124"/>
      <c r="CH63" s="124"/>
      <c r="CI63" s="124"/>
      <c r="CJ63" s="124"/>
      <c r="CK63" s="179">
        <f t="shared" si="1"/>
        <v>62</v>
      </c>
      <c r="CL63" s="37" t="str">
        <f t="shared" ca="1" si="32"/>
        <v>Ward</v>
      </c>
      <c r="CM63" s="36">
        <f t="shared" si="16"/>
        <v>62</v>
      </c>
      <c r="CN63" s="37" t="str">
        <f ca="1">IF($AN63&gt;CN$1,"",INDEX($AG$2:$AG$226,SMALL(CM$2:$CM$226,$AN63),1))</f>
        <v>Ward</v>
      </c>
      <c r="CO63" s="36">
        <f t="shared" si="17"/>
        <v>62</v>
      </c>
      <c r="CP63" s="37" t="str">
        <f t="shared" ca="1" si="18"/>
        <v>Ward</v>
      </c>
      <c r="CS63" s="28">
        <f t="shared" si="3"/>
        <v>62</v>
      </c>
      <c r="CT63" s="37" t="str">
        <f t="shared" ca="1" si="33"/>
        <v>Wealthy</v>
      </c>
      <c r="CU63" s="28">
        <f t="shared" si="3"/>
        <v>62</v>
      </c>
      <c r="CV63" s="37" t="str">
        <f t="shared" ca="1" si="34"/>
        <v>Wealthy</v>
      </c>
      <c r="CW63" s="28">
        <f t="shared" si="6"/>
        <v>62</v>
      </c>
      <c r="CX63" s="37" t="str">
        <f t="shared" ca="1" si="35"/>
        <v>Wealthy</v>
      </c>
      <c r="CY63" s="28">
        <f t="shared" si="8"/>
        <v>62</v>
      </c>
      <c r="CZ63" s="37" t="str">
        <f t="shared" ca="1" si="35"/>
        <v>Wealthy</v>
      </c>
      <c r="DA63" s="28">
        <f t="shared" si="9"/>
        <v>62</v>
      </c>
      <c r="DB63" s="37" t="str">
        <f t="shared" ca="1" si="36"/>
        <v>Wealthy</v>
      </c>
      <c r="DC63" s="28">
        <f t="shared" si="11"/>
        <v>62</v>
      </c>
      <c r="DD63" s="37" t="str">
        <f t="shared" ca="1" si="37"/>
        <v>Wealthy</v>
      </c>
      <c r="DN63" s="32">
        <v>62</v>
      </c>
      <c r="DO63" s="34" t="s">
        <v>651</v>
      </c>
      <c r="DP63" s="38">
        <f t="shared" si="51"/>
        <v>0</v>
      </c>
      <c r="DQ63" s="173" t="str">
        <f t="shared" si="19"/>
        <v>(Athl) 0</v>
      </c>
      <c r="DR63" s="36" t="str">
        <f t="shared" si="20"/>
        <v/>
      </c>
      <c r="DS63" s="37" t="str">
        <f t="shared" si="21"/>
        <v>(Surv) Orientation</v>
      </c>
      <c r="DV63" s="176">
        <f t="shared" si="14"/>
        <v>0</v>
      </c>
      <c r="DW63" s="243">
        <f>IF(COUNTIF('Char Sheet p1'!$AP$7:$AP$35,DQ63)=0,0,ROUNDDOWN(SUMIF('Char Sheet p1'!$AP$7:$AP$35,DQ63,'Char Sheet p1'!$AQ$7:$AQ$35)/10,0))</f>
        <v>0</v>
      </c>
      <c r="DX63" s="240">
        <f t="shared" si="22"/>
        <v>0</v>
      </c>
      <c r="DY63" s="36">
        <f t="shared" si="53"/>
        <v>10</v>
      </c>
      <c r="DZ63" s="36" t="str">
        <f t="shared" si="15"/>
        <v/>
      </c>
      <c r="EE63" s="36">
        <f t="shared" si="52"/>
        <v>4</v>
      </c>
    </row>
    <row r="64" spans="1:135">
      <c r="A64" s="138">
        <f t="shared" si="39"/>
        <v>0</v>
      </c>
      <c r="B64" s="168">
        <f t="shared" si="40"/>
        <v>0</v>
      </c>
      <c r="C64" s="32" t="s">
        <v>371</v>
      </c>
      <c r="D64" s="34" t="s">
        <v>677</v>
      </c>
      <c r="E64" s="31">
        <v>1</v>
      </c>
      <c r="F64" s="31">
        <f t="shared" ca="1" si="41"/>
        <v>-1</v>
      </c>
      <c r="G64" s="34" t="s">
        <v>672</v>
      </c>
      <c r="H64" s="168">
        <f t="shared" ca="1" si="43"/>
        <v>2</v>
      </c>
      <c r="I64" s="168" t="str">
        <f t="shared" ca="1" si="44"/>
        <v/>
      </c>
      <c r="J64" s="154"/>
      <c r="K64" s="102"/>
      <c r="L64" s="31"/>
      <c r="M64" s="31"/>
      <c r="N64" s="31"/>
      <c r="O64" s="31" t="s">
        <v>415</v>
      </c>
      <c r="P64" s="31"/>
      <c r="Q64" s="31"/>
      <c r="R64" s="31"/>
      <c r="S64" s="31"/>
      <c r="T64" s="31"/>
      <c r="U64" s="31"/>
      <c r="V64" s="168" t="s">
        <v>436</v>
      </c>
      <c r="W64" s="36" t="s">
        <v>440</v>
      </c>
      <c r="X64" s="36">
        <v>1</v>
      </c>
      <c r="Y64" s="36">
        <f t="shared" ca="1" si="45"/>
        <v>5</v>
      </c>
      <c r="Z64" s="36"/>
      <c r="AA64" s="176" t="str">
        <f t="shared" si="50"/>
        <v xml:space="preserve">Adaptable, </v>
      </c>
      <c r="AB64" s="176" t="str">
        <f t="shared" si="46"/>
        <v>Adaptable</v>
      </c>
      <c r="AC64" s="176">
        <f t="shared" si="47"/>
        <v>0</v>
      </c>
      <c r="AD64" s="176">
        <f t="shared" si="48"/>
        <v>0</v>
      </c>
      <c r="AG64" s="32" t="s">
        <v>758</v>
      </c>
      <c r="AH64" s="34" t="s">
        <v>773</v>
      </c>
      <c r="AI64" s="34" t="s">
        <v>793</v>
      </c>
      <c r="AJ64" s="31"/>
      <c r="AK64" s="31"/>
      <c r="AL64" s="31" t="str">
        <f t="shared" si="31"/>
        <v/>
      </c>
      <c r="AM64" s="31">
        <f ca="1">N(AND(stealth&gt;2,SUMIF(stespec,"Blend in",stespecval)&gt;0))</f>
        <v>0</v>
      </c>
      <c r="AN64" s="31">
        <f t="shared" si="24"/>
        <v>63</v>
      </c>
      <c r="AO64" s="35" t="s">
        <v>810</v>
      </c>
      <c r="AP64" s="134"/>
      <c r="AQ64" s="47"/>
      <c r="AR64" s="134"/>
      <c r="AS64" s="47"/>
      <c r="AT64" s="134"/>
      <c r="AU64" s="47"/>
      <c r="AV64" s="134"/>
      <c r="AW64" s="47"/>
      <c r="AX64" s="134"/>
      <c r="AY64" s="47"/>
      <c r="AZ64" s="134"/>
      <c r="BA64" s="47"/>
      <c r="BB64" s="134"/>
      <c r="BC64" s="47"/>
      <c r="BD64" s="134"/>
      <c r="BE64" s="47"/>
      <c r="BF64" s="134"/>
      <c r="BG64" s="47"/>
      <c r="BH64" s="134"/>
      <c r="BI64" s="47"/>
      <c r="BJ64" s="134"/>
      <c r="BK64" s="47"/>
      <c r="BL64" s="134"/>
      <c r="BM64" s="47"/>
      <c r="BN64" s="134"/>
      <c r="BO64" s="47"/>
      <c r="BP64" s="134"/>
      <c r="BQ64" s="47"/>
      <c r="BR64" s="134"/>
      <c r="BS64" s="47"/>
      <c r="BT64" s="134"/>
      <c r="BU64" s="47"/>
      <c r="BV64" s="134"/>
      <c r="BW64" s="47"/>
      <c r="BX64" s="134"/>
      <c r="BY64" s="47"/>
      <c r="BZ64" s="134"/>
      <c r="CA64" s="47"/>
      <c r="CB64" s="120"/>
      <c r="CC64" s="120"/>
      <c r="CD64" s="120"/>
      <c r="CE64" s="120"/>
      <c r="CF64" s="120"/>
      <c r="CG64" s="120"/>
      <c r="CH64" s="120"/>
      <c r="CI64" s="120"/>
      <c r="CJ64" s="120"/>
      <c r="CK64" s="179" t="str">
        <f t="shared" ca="1" si="1"/>
        <v/>
      </c>
      <c r="CL64" s="37" t="str">
        <f t="shared" ca="1" si="32"/>
        <v>Wealthy</v>
      </c>
      <c r="CM64" s="36" t="str">
        <f t="shared" ca="1" si="16"/>
        <v/>
      </c>
      <c r="CN64" s="37" t="str">
        <f ca="1">IF($AN64&gt;CN$1,"",INDEX($AG$2:$AG$226,SMALL(CM$2:$CM$226,$AN64),1))</f>
        <v>Wealthy</v>
      </c>
      <c r="CO64" s="36" t="str">
        <f t="shared" ca="1" si="17"/>
        <v/>
      </c>
      <c r="CP64" s="37" t="str">
        <f t="shared" ca="1" si="18"/>
        <v>Wealthy</v>
      </c>
      <c r="CS64" s="28" t="str">
        <f t="shared" ca="1" si="3"/>
        <v/>
      </c>
      <c r="CT64" s="37" t="str">
        <f t="shared" ca="1" si="33"/>
        <v>Weapon Mastery</v>
      </c>
      <c r="CU64" s="28" t="str">
        <f t="shared" ca="1" si="3"/>
        <v/>
      </c>
      <c r="CV64" s="37" t="str">
        <f t="shared" ca="1" si="34"/>
        <v>Weapon Mastery</v>
      </c>
      <c r="CW64" s="28" t="str">
        <f t="shared" ca="1" si="6"/>
        <v/>
      </c>
      <c r="CX64" s="37" t="str">
        <f t="shared" ca="1" si="35"/>
        <v>Weapon Mastery</v>
      </c>
      <c r="CY64" s="28" t="str">
        <f t="shared" ca="1" si="8"/>
        <v/>
      </c>
      <c r="CZ64" s="37" t="str">
        <f t="shared" ca="1" si="35"/>
        <v>Weapon Mastery</v>
      </c>
      <c r="DA64" s="28" t="str">
        <f t="shared" ca="1" si="9"/>
        <v/>
      </c>
      <c r="DB64" s="37" t="str">
        <f t="shared" ca="1" si="36"/>
        <v>Weapon Mastery</v>
      </c>
      <c r="DC64" s="28" t="str">
        <f t="shared" ca="1" si="11"/>
        <v/>
      </c>
      <c r="DD64" s="37" t="str">
        <f t="shared" ca="1" si="37"/>
        <v>Weapon Mastery</v>
      </c>
      <c r="DN64" s="32">
        <v>63</v>
      </c>
      <c r="DO64" s="34" t="s">
        <v>651</v>
      </c>
      <c r="DP64" s="38">
        <f t="shared" si="51"/>
        <v>0</v>
      </c>
      <c r="DQ64" s="173" t="str">
        <f t="shared" si="19"/>
        <v>(Athl) 0</v>
      </c>
      <c r="DR64" s="36" t="str">
        <f t="shared" si="20"/>
        <v/>
      </c>
      <c r="DS64" s="37" t="str">
        <f t="shared" si="21"/>
        <v>(Surv) Track</v>
      </c>
      <c r="DV64" s="176">
        <f t="shared" si="14"/>
        <v>0</v>
      </c>
      <c r="DW64" s="243">
        <f>IF(COUNTIF('Char Sheet p1'!$AP$7:$AP$35,DQ64)=0,0,ROUNDDOWN(SUMIF('Char Sheet p1'!$AP$7:$AP$35,DQ64,'Char Sheet p1'!$AQ$7:$AQ$35)/10,0))</f>
        <v>0</v>
      </c>
      <c r="DX64" s="240">
        <f t="shared" si="22"/>
        <v>0</v>
      </c>
      <c r="DY64" s="36">
        <f t="shared" si="53"/>
        <v>11</v>
      </c>
      <c r="DZ64" s="36" t="str">
        <f t="shared" si="15"/>
        <v/>
      </c>
      <c r="EE64" s="36">
        <f t="shared" si="52"/>
        <v>4</v>
      </c>
    </row>
    <row r="65" spans="1:135">
      <c r="A65" s="138">
        <f t="shared" si="39"/>
        <v>0</v>
      </c>
      <c r="B65" s="168">
        <f t="shared" si="40"/>
        <v>0</v>
      </c>
      <c r="C65" s="32" t="s">
        <v>372</v>
      </c>
      <c r="D65" s="34" t="s">
        <v>677</v>
      </c>
      <c r="E65" s="31"/>
      <c r="F65" s="31">
        <f t="shared" ca="1" si="41"/>
        <v>0</v>
      </c>
      <c r="G65" s="34" t="s">
        <v>672</v>
      </c>
      <c r="H65" s="168">
        <f t="shared" ca="1" si="43"/>
        <v>3</v>
      </c>
      <c r="I65" s="168" t="str">
        <f t="shared" ca="1" si="44"/>
        <v/>
      </c>
      <c r="J65" s="154"/>
      <c r="K65" s="102"/>
      <c r="L65" s="31"/>
      <c r="M65" s="31"/>
      <c r="N65" s="31" t="s">
        <v>426</v>
      </c>
      <c r="O65" s="31" t="str">
        <f>IF(COUNTIF(qualities,"Massive")=0,"2h","Adaptable")</f>
        <v>2h</v>
      </c>
      <c r="P65" s="31"/>
      <c r="Q65" s="31"/>
      <c r="R65" s="31">
        <f ca="1">powerful</f>
        <v>0</v>
      </c>
      <c r="S65" s="31"/>
      <c r="T65" s="31"/>
      <c r="U65" s="31" t="str">
        <f>IF(COUNTIF(qualities,"Massive")=1,"","Unwieldy")</f>
        <v>Unwieldy</v>
      </c>
      <c r="V65" s="168" t="s">
        <v>430</v>
      </c>
      <c r="W65" s="36" t="s">
        <v>440</v>
      </c>
      <c r="X65" s="36">
        <v>3</v>
      </c>
      <c r="Y65" s="36">
        <f t="shared" ca="1" si="45"/>
        <v>7</v>
      </c>
      <c r="Z65" s="36"/>
      <c r="AA65" s="176" t="str">
        <f t="shared" si="50"/>
        <v xml:space="preserve">Slow, 2h, Unwieldy, Vicious, </v>
      </c>
      <c r="AB65" s="176" t="str">
        <f t="shared" si="46"/>
        <v>Slow, 2h, Unwieldy, Vicious</v>
      </c>
      <c r="AC65" s="176">
        <f t="shared" si="47"/>
        <v>0</v>
      </c>
      <c r="AD65" s="176">
        <f t="shared" si="48"/>
        <v>0</v>
      </c>
      <c r="AG65" s="32" t="s">
        <v>777</v>
      </c>
      <c r="AH65" s="34" t="s">
        <v>789</v>
      </c>
      <c r="AI65" s="34"/>
      <c r="AJ65" s="31"/>
      <c r="AK65" s="31"/>
      <c r="AL65" s="31" t="str">
        <f t="shared" si="31"/>
        <v/>
      </c>
      <c r="AM65" s="31">
        <v>1</v>
      </c>
      <c r="AN65" s="31">
        <f t="shared" si="24"/>
        <v>64</v>
      </c>
      <c r="AO65" s="35" t="s">
        <v>64</v>
      </c>
      <c r="AP65" s="134"/>
      <c r="AQ65" s="47"/>
      <c r="AR65" s="134"/>
      <c r="AS65" s="47"/>
      <c r="AT65" s="134"/>
      <c r="AU65" s="47"/>
      <c r="AV65" s="134"/>
      <c r="AW65" s="47"/>
      <c r="AX65" s="134"/>
      <c r="AY65" s="47"/>
      <c r="AZ65" s="134"/>
      <c r="BA65" s="47"/>
      <c r="BB65" s="134"/>
      <c r="BC65" s="47"/>
      <c r="BD65" s="134"/>
      <c r="BE65" s="47"/>
      <c r="BF65" s="134"/>
      <c r="BG65" s="47"/>
      <c r="BH65" s="134"/>
      <c r="BI65" s="47"/>
      <c r="BJ65" s="134"/>
      <c r="BK65" s="47"/>
      <c r="BL65" s="134"/>
      <c r="BM65" s="47"/>
      <c r="BN65" s="134"/>
      <c r="BO65" s="47"/>
      <c r="BP65" s="134"/>
      <c r="BQ65" s="47"/>
      <c r="BR65" s="134"/>
      <c r="BS65" s="47"/>
      <c r="BT65" s="134"/>
      <c r="BU65" s="47"/>
      <c r="BV65" s="134"/>
      <c r="BW65" s="47"/>
      <c r="BX65" s="134"/>
      <c r="BY65" s="47"/>
      <c r="BZ65" s="134"/>
      <c r="CA65" s="47"/>
      <c r="CB65" s="120"/>
      <c r="CC65" s="120"/>
      <c r="CD65" s="120"/>
      <c r="CE65" s="120"/>
      <c r="CF65" s="120"/>
      <c r="CG65" s="120"/>
      <c r="CH65" s="120"/>
      <c r="CI65" s="120"/>
      <c r="CJ65" s="120"/>
      <c r="CK65" s="179">
        <f t="shared" si="1"/>
        <v>64</v>
      </c>
      <c r="CL65" s="37" t="str">
        <f t="shared" ca="1" si="32"/>
        <v>Weapon Mastery</v>
      </c>
      <c r="CM65" s="36">
        <f t="shared" si="16"/>
        <v>64</v>
      </c>
      <c r="CN65" s="37" t="str">
        <f ca="1">IF($AN65&gt;CN$1,"",INDEX($AG$2:$AG$226,SMALL(CM$2:$CM$226,$AN65),1))</f>
        <v>Weapon Mastery</v>
      </c>
      <c r="CO65" s="36">
        <f t="shared" si="17"/>
        <v>64</v>
      </c>
      <c r="CP65" s="37" t="str">
        <f t="shared" ca="1" si="18"/>
        <v>Weapon Mastery</v>
      </c>
      <c r="CS65" s="28">
        <f t="shared" si="3"/>
        <v>64</v>
      </c>
      <c r="CT65" s="37" t="str">
        <f t="shared" ca="1" si="33"/>
        <v>Worldly</v>
      </c>
      <c r="CU65" s="28">
        <f t="shared" si="3"/>
        <v>64</v>
      </c>
      <c r="CV65" s="37" t="str">
        <f t="shared" ca="1" si="34"/>
        <v>Worldly</v>
      </c>
      <c r="CW65" s="28">
        <f t="shared" si="6"/>
        <v>64</v>
      </c>
      <c r="CX65" s="37" t="str">
        <f t="shared" ca="1" si="35"/>
        <v>Worldly</v>
      </c>
      <c r="CY65" s="28">
        <f t="shared" si="8"/>
        <v>64</v>
      </c>
      <c r="CZ65" s="37" t="str">
        <f t="shared" ca="1" si="35"/>
        <v>Worldly</v>
      </c>
      <c r="DA65" s="28">
        <f t="shared" si="9"/>
        <v>64</v>
      </c>
      <c r="DB65" s="37" t="str">
        <f t="shared" ca="1" si="36"/>
        <v>Worldly</v>
      </c>
      <c r="DC65" s="28">
        <f t="shared" si="11"/>
        <v>64</v>
      </c>
      <c r="DD65" s="37" t="str">
        <f t="shared" ca="1" si="37"/>
        <v>Worldly</v>
      </c>
      <c r="DN65" s="32">
        <v>64</v>
      </c>
      <c r="DO65" s="34" t="s">
        <v>651</v>
      </c>
      <c r="DP65" s="38">
        <f t="shared" si="51"/>
        <v>0</v>
      </c>
      <c r="DQ65" s="173" t="str">
        <f t="shared" si="19"/>
        <v>(Athl) 0</v>
      </c>
      <c r="DR65" s="36" t="str">
        <f t="shared" si="20"/>
        <v/>
      </c>
      <c r="DS65" s="37" t="str">
        <f t="shared" si="21"/>
        <v>(Thie) Pick Lock</v>
      </c>
      <c r="DV65" s="176">
        <f t="shared" si="14"/>
        <v>0</v>
      </c>
      <c r="DW65" s="243">
        <f>IF(COUNTIF('Char Sheet p1'!$AP$7:$AP$35,DQ65)=0,0,ROUNDDOWN(SUMIF('Char Sheet p1'!$AP$7:$AP$35,DQ65,'Char Sheet p1'!$AQ$7:$AQ$35)/10,0))</f>
        <v>0</v>
      </c>
      <c r="DX65" s="240">
        <f t="shared" si="22"/>
        <v>0</v>
      </c>
      <c r="DY65" s="36">
        <f t="shared" si="53"/>
        <v>12</v>
      </c>
      <c r="DZ65" s="36" t="str">
        <f t="shared" si="15"/>
        <v/>
      </c>
      <c r="EE65" s="36">
        <f t="shared" si="52"/>
        <v>4</v>
      </c>
    </row>
    <row r="66" spans="1:135">
      <c r="A66" s="139">
        <f t="shared" si="39"/>
        <v>0</v>
      </c>
      <c r="B66" s="169">
        <f t="shared" si="40"/>
        <v>0</v>
      </c>
      <c r="C66" s="32" t="s">
        <v>373</v>
      </c>
      <c r="D66" s="34" t="s">
        <v>677</v>
      </c>
      <c r="E66" s="31"/>
      <c r="F66" s="31">
        <f t="shared" ca="1" si="41"/>
        <v>0</v>
      </c>
      <c r="G66" s="34" t="s">
        <v>672</v>
      </c>
      <c r="H66" s="168">
        <f t="shared" ca="1" si="43"/>
        <v>3</v>
      </c>
      <c r="I66" s="168" t="str">
        <f t="shared" ca="1" si="44"/>
        <v/>
      </c>
      <c r="J66" s="154"/>
      <c r="K66" s="102"/>
      <c r="L66" s="31"/>
      <c r="M66" s="31"/>
      <c r="N66" s="31"/>
      <c r="O66" s="31"/>
      <c r="P66" s="31"/>
      <c r="Q66" s="31"/>
      <c r="R66" s="31"/>
      <c r="S66" s="31"/>
      <c r="T66" s="31"/>
      <c r="U66" s="31"/>
      <c r="V66" s="168" t="s">
        <v>436</v>
      </c>
      <c r="W66" s="36" t="s">
        <v>440</v>
      </c>
      <c r="X66" s="36">
        <v>1</v>
      </c>
      <c r="Y66" s="36">
        <f t="shared" ca="1" si="45"/>
        <v>5</v>
      </c>
      <c r="Z66" s="36"/>
      <c r="AA66" s="176" t="str">
        <f t="shared" si="50"/>
        <v/>
      </c>
      <c r="AB66" s="176" t="str">
        <f t="shared" si="46"/>
        <v/>
      </c>
      <c r="AC66" s="176">
        <f t="shared" si="47"/>
        <v>0</v>
      </c>
      <c r="AD66" s="176">
        <f t="shared" si="48"/>
        <v>0</v>
      </c>
      <c r="AE66" s="25"/>
      <c r="AG66" s="32" t="s">
        <v>848</v>
      </c>
      <c r="AH66" s="34" t="s">
        <v>880</v>
      </c>
      <c r="AI66" s="34"/>
      <c r="AJ66" s="31"/>
      <c r="AK66" s="31"/>
      <c r="AL66" s="31" t="str">
        <f t="shared" ref="AL66:AL97" si="54">IF(AH66="Heritage",COUNTIF(qualities,AG66),"")</f>
        <v/>
      </c>
      <c r="AM66" s="31">
        <v>1</v>
      </c>
      <c r="AN66" s="31">
        <f t="shared" si="24"/>
        <v>65</v>
      </c>
      <c r="AO66" s="35" t="s">
        <v>956</v>
      </c>
      <c r="AP66" s="134"/>
      <c r="AQ66" s="47"/>
      <c r="AR66" s="134"/>
      <c r="AS66" s="47"/>
      <c r="AT66" s="134"/>
      <c r="AU66" s="47"/>
      <c r="AV66" s="134"/>
      <c r="AW66" s="47"/>
      <c r="AX66" s="134"/>
      <c r="AY66" s="47"/>
      <c r="AZ66" s="134"/>
      <c r="BA66" s="47"/>
      <c r="BB66" s="134"/>
      <c r="BC66" s="47"/>
      <c r="BD66" s="134"/>
      <c r="BE66" s="47"/>
      <c r="BF66" s="134"/>
      <c r="BG66" s="47"/>
      <c r="BH66" s="134"/>
      <c r="BI66" s="47"/>
      <c r="BJ66" s="134"/>
      <c r="BK66" s="47"/>
      <c r="BL66" s="134"/>
      <c r="BM66" s="47"/>
      <c r="BN66" s="134"/>
      <c r="BO66" s="47"/>
      <c r="BP66" s="134"/>
      <c r="BQ66" s="47"/>
      <c r="BR66" s="134"/>
      <c r="BS66" s="47"/>
      <c r="BT66" s="134"/>
      <c r="BU66" s="47"/>
      <c r="BV66" s="134"/>
      <c r="BW66" s="47"/>
      <c r="BX66" s="134"/>
      <c r="BY66" s="47"/>
      <c r="BZ66" s="134"/>
      <c r="CA66" s="47"/>
      <c r="CB66" s="120"/>
      <c r="CC66" s="120"/>
      <c r="CD66" s="120"/>
      <c r="CE66" s="120"/>
      <c r="CF66" s="120"/>
      <c r="CG66" s="120"/>
      <c r="CH66" s="120"/>
      <c r="CI66" s="120">
        <v>1</v>
      </c>
      <c r="CJ66" s="120">
        <v>1</v>
      </c>
      <c r="CK66" s="179">
        <f t="shared" ref="CK66:CK129" si="55">IF(OR(AM66=0,AND(COUNTIF($CL$148:$CL$153,AG66)&gt;0,AJ66&lt;&gt;"y")),"",AN66)</f>
        <v>65</v>
      </c>
      <c r="CL66" s="37" t="str">
        <f t="shared" ref="CL66:CL97" ca="1" si="56">IF(AN66&gt;$CL$1,"",INDEX($AG$2:$AG$226,SMALL($CK$2:$CK$226,AN66),1))</f>
        <v>Worldly</v>
      </c>
      <c r="CM66" s="36">
        <f t="shared" si="16"/>
        <v>65</v>
      </c>
      <c r="CN66" s="37" t="str">
        <f ca="1">IF($AN66&gt;CN$1,"",INDEX($AG$2:$AG$226,SMALL(CM$2:$CM$226,$AN66),1))</f>
        <v>Worldly</v>
      </c>
      <c r="CO66" s="36">
        <f t="shared" si="17"/>
        <v>65</v>
      </c>
      <c r="CP66" s="37" t="str">
        <f t="shared" ca="1" si="18"/>
        <v>Worldly</v>
      </c>
      <c r="CS66" s="28">
        <f t="shared" ref="CS66:CU129" si="57">IF(OR($AM66=0,AND(COUNTIF(CT$148:CT$156,$AG66)&gt;0,$AJ66&lt;&gt;"y")),"",$AN66)</f>
        <v>65</v>
      </c>
      <c r="CT66" s="37" t="str">
        <f t="shared" ref="CT66:CT97" ca="1" si="58">IF($AN66&gt;CT$1,"",INDEX($AG$2:$AG$226,SMALL(CS$2:CS$226,$AN66),1))</f>
        <v/>
      </c>
      <c r="CU66" s="28">
        <f t="shared" si="57"/>
        <v>65</v>
      </c>
      <c r="CV66" s="37" t="str">
        <f t="shared" ref="CV66:CV97" ca="1" si="59">IF($AN66&gt;CV$1,"",INDEX($AG$2:$AG$226,SMALL(CU$2:CU$226,$AN66),1))</f>
        <v/>
      </c>
      <c r="CW66" s="28">
        <f t="shared" ref="CW66:CW129" si="60">IF(OR($AM66=0,AND(COUNTIF(CX$148:CX$156,$AG66)&gt;0,$AJ66&lt;&gt;"y")),"",$AN66)</f>
        <v>65</v>
      </c>
      <c r="CX66" s="37" t="str">
        <f t="shared" ref="CX66:CZ97" ca="1" si="61">IF($AN66&gt;CX$1,"",INDEX($AG$2:$AG$226,SMALL(CW$2:CW$226,$AN66),1))</f>
        <v/>
      </c>
      <c r="CY66" s="28">
        <f t="shared" ref="CY66:CY129" si="62">IF(OR($AM66=0,AND(COUNTIF(CZ$148:CZ$156,$AG66)&gt;0,$AJ66&lt;&gt;"y")),"",$AN66)</f>
        <v>65</v>
      </c>
      <c r="CZ66" s="37" t="str">
        <f t="shared" ca="1" si="61"/>
        <v/>
      </c>
      <c r="DA66" s="28">
        <f t="shared" ref="DA66:DA129" si="63">IF(OR($AM66=0,AND(COUNTIF(DB$148:DB$156,$AG66)&gt;0,$AJ66&lt;&gt;"y")),"",$AN66)</f>
        <v>65</v>
      </c>
      <c r="DB66" s="37" t="str">
        <f t="shared" ref="DB66:DB97" ca="1" si="64">IF($AN66&gt;DB$1,"",INDEX($AG$2:$AG$226,SMALL(DA$2:DA$226,$AN66),1))</f>
        <v/>
      </c>
      <c r="DC66" s="28">
        <f t="shared" ref="DC66:DC129" si="65">IF(OR($AM66=0,AND(COUNTIF(DD$148:DD$156,$AG66)&gt;0,$AJ66&lt;&gt;"y")),"",$AN66)</f>
        <v>65</v>
      </c>
      <c r="DD66" s="37" t="str">
        <f t="shared" ref="DD66:DD97" ca="1" si="66">IF($AN66&gt;DD$1,"",INDEX($AG$2:$AG$226,SMALL(DC$2:DC$226,$AN66),1))</f>
        <v/>
      </c>
      <c r="DN66" s="32">
        <v>65</v>
      </c>
      <c r="DO66" s="34" t="s">
        <v>651</v>
      </c>
      <c r="DP66" s="38">
        <f t="shared" si="51"/>
        <v>0</v>
      </c>
      <c r="DQ66" s="173" t="str">
        <f t="shared" si="19"/>
        <v>(Athl) 0</v>
      </c>
      <c r="DR66" s="36" t="str">
        <f t="shared" si="20"/>
        <v/>
      </c>
      <c r="DS66" s="37" t="str">
        <f t="shared" si="21"/>
        <v>(Thie) Sleight of Hand</v>
      </c>
      <c r="DV66" s="176">
        <f t="shared" ref="DV66:DV129" si="67">IF(DP66=0,0,SUMIF($DT$2:$DT$58,DP66,$DU$2:$DU$58))</f>
        <v>0</v>
      </c>
      <c r="DW66" s="243">
        <f>IF(COUNTIF('Char Sheet p1'!$AP$7:$AP$35,DQ66)=0,0,ROUNDDOWN(SUMIF('Char Sheet p1'!$AP$7:$AP$35,DQ66,'Char Sheet p1'!$AQ$7:$AQ$35)/10,0))</f>
        <v>0</v>
      </c>
      <c r="DX66" s="240">
        <f t="shared" si="22"/>
        <v>0</v>
      </c>
      <c r="DY66" s="36">
        <f t="shared" si="53"/>
        <v>13</v>
      </c>
      <c r="DZ66" s="36" t="str">
        <f t="shared" ref="DZ66:DZ129" si="68">IF(DX66=0,"",IF(endchargen=0,"",DY66))</f>
        <v/>
      </c>
      <c r="EE66" s="36">
        <f t="shared" si="52"/>
        <v>4</v>
      </c>
    </row>
    <row r="67" spans="1:135">
      <c r="A67" s="166" t="str">
        <f t="shared" ref="A67:A92" si="69">W2</f>
        <v>Bows</v>
      </c>
      <c r="B67" s="167">
        <f t="shared" ref="B67:B92" ca="1" si="70">IF(A67=0,0,SUMIF(marspec,A67,marspecval))</f>
        <v>0</v>
      </c>
      <c r="C67" s="32" t="s">
        <v>374</v>
      </c>
      <c r="D67" s="34" t="s">
        <v>678</v>
      </c>
      <c r="E67" s="31">
        <v>1</v>
      </c>
      <c r="F67" s="31">
        <f t="shared" ca="1" si="41"/>
        <v>-1</v>
      </c>
      <c r="G67" s="34" t="s">
        <v>672</v>
      </c>
      <c r="H67" s="168">
        <f t="shared" ca="1" si="43"/>
        <v>2</v>
      </c>
      <c r="I67" s="168" t="str">
        <f t="shared" ca="1" si="44"/>
        <v/>
      </c>
      <c r="J67" s="154"/>
      <c r="K67" s="102">
        <v>1</v>
      </c>
      <c r="L67" s="31"/>
      <c r="M67" s="31"/>
      <c r="N67" s="31"/>
      <c r="O67" s="31" t="str">
        <f>IF(COUNTIF(qualities,"Massive")=0,"2h","Adaptable")</f>
        <v>2h</v>
      </c>
      <c r="P67" s="31"/>
      <c r="Q67" s="31"/>
      <c r="R67" s="31">
        <f ca="1">powerful</f>
        <v>0</v>
      </c>
      <c r="S67" s="31"/>
      <c r="T67" s="31"/>
      <c r="U67" s="31"/>
      <c r="V67" s="168" t="s">
        <v>436</v>
      </c>
      <c r="W67" s="36" t="s">
        <v>440</v>
      </c>
      <c r="X67" s="36">
        <v>3</v>
      </c>
      <c r="Y67" s="36">
        <f t="shared" ca="1" si="45"/>
        <v>7</v>
      </c>
      <c r="Z67" s="36"/>
      <c r="AA67" s="176" t="str">
        <f t="shared" si="50"/>
        <v xml:space="preserve">Bulk 1, 2h, </v>
      </c>
      <c r="AB67" s="176" t="str">
        <f t="shared" si="46"/>
        <v>Bulk 1, 2h</v>
      </c>
      <c r="AC67" s="176">
        <f t="shared" si="47"/>
        <v>0</v>
      </c>
      <c r="AD67" s="176">
        <f t="shared" si="48"/>
        <v>0</v>
      </c>
      <c r="AE67" s="25"/>
      <c r="AG67" s="32" t="s">
        <v>872</v>
      </c>
      <c r="AH67" s="34" t="s">
        <v>881</v>
      </c>
      <c r="AI67" s="34"/>
      <c r="AJ67" s="31"/>
      <c r="AK67" s="31"/>
      <c r="AL67" s="31" t="str">
        <f t="shared" si="54"/>
        <v/>
      </c>
      <c r="AM67" s="31">
        <v>1</v>
      </c>
      <c r="AN67" s="31">
        <f t="shared" si="24"/>
        <v>66</v>
      </c>
      <c r="AO67" s="35" t="s">
        <v>965</v>
      </c>
      <c r="AP67" s="134"/>
      <c r="AQ67" s="47"/>
      <c r="AR67" s="134"/>
      <c r="AS67" s="47"/>
      <c r="AT67" s="134"/>
      <c r="AU67" s="47"/>
      <c r="AV67" s="134"/>
      <c r="AW67" s="47"/>
      <c r="AX67" s="134"/>
      <c r="AY67" s="47"/>
      <c r="AZ67" s="134"/>
      <c r="BA67" s="47"/>
      <c r="BB67" s="134"/>
      <c r="BC67" s="47"/>
      <c r="BD67" s="134"/>
      <c r="BE67" s="47"/>
      <c r="BF67" s="134"/>
      <c r="BG67" s="47"/>
      <c r="BH67" s="134"/>
      <c r="BI67" s="47"/>
      <c r="BJ67" s="134"/>
      <c r="BK67" s="47"/>
      <c r="BL67" s="134"/>
      <c r="BM67" s="47"/>
      <c r="BN67" s="134"/>
      <c r="BO67" s="47"/>
      <c r="BP67" s="134"/>
      <c r="BQ67" s="47"/>
      <c r="BR67" s="134"/>
      <c r="BS67" s="47"/>
      <c r="BT67" s="134"/>
      <c r="BU67" s="47"/>
      <c r="BV67" s="134"/>
      <c r="BW67" s="47"/>
      <c r="BX67" s="134"/>
      <c r="BY67" s="47"/>
      <c r="BZ67" s="134"/>
      <c r="CA67" s="47"/>
      <c r="CB67" s="120"/>
      <c r="CC67" s="120"/>
      <c r="CD67" s="120"/>
      <c r="CE67" s="120"/>
      <c r="CF67" s="120"/>
      <c r="CG67" s="120"/>
      <c r="CH67" s="120"/>
      <c r="CI67" s="120"/>
      <c r="CJ67" s="120"/>
      <c r="CK67" s="179">
        <f t="shared" si="55"/>
        <v>66</v>
      </c>
      <c r="CL67" s="37" t="str">
        <f t="shared" ca="1" si="56"/>
        <v/>
      </c>
      <c r="CM67" s="36">
        <f t="shared" ref="CM67:CM130" si="71">IF(OR($AM67=0,AND(COUNTIF(CN$148:CN$153,$AG67)&gt;0,$AJ67&lt;&gt;"y")),"",$AN67)</f>
        <v>66</v>
      </c>
      <c r="CN67" s="37" t="str">
        <f ca="1">IF($AN67&gt;CN$1,"",INDEX($AG$2:$AG$226,SMALL(CM$2:$CM$226,$AN67),1))</f>
        <v/>
      </c>
      <c r="CO67" s="36">
        <f t="shared" ref="CO67:CO130" si="72">IF(OR($AM67=0,AND(COUNTIF(CP$148:CP$153,$AG67)&gt;0,$AJ67&lt;&gt;"y")),"",$AN67)</f>
        <v>66</v>
      </c>
      <c r="CP67" s="37" t="str">
        <f t="shared" ref="CP67:CP130" ca="1" si="73">IF($AN67&gt;CP$1,"",INDEX($AG$2:$AG$226,SMALL(CO$2:CO$226,$AN67),1))</f>
        <v/>
      </c>
      <c r="CS67" s="28">
        <f t="shared" si="57"/>
        <v>66</v>
      </c>
      <c r="CT67" s="37" t="str">
        <f t="shared" ca="1" si="58"/>
        <v/>
      </c>
      <c r="CU67" s="28">
        <f t="shared" si="57"/>
        <v>66</v>
      </c>
      <c r="CV67" s="37" t="str">
        <f t="shared" ca="1" si="59"/>
        <v/>
      </c>
      <c r="CW67" s="28">
        <f t="shared" si="60"/>
        <v>66</v>
      </c>
      <c r="CX67" s="37" t="str">
        <f t="shared" ca="1" si="61"/>
        <v/>
      </c>
      <c r="CY67" s="28">
        <f t="shared" si="62"/>
        <v>66</v>
      </c>
      <c r="CZ67" s="37" t="str">
        <f t="shared" ca="1" si="61"/>
        <v/>
      </c>
      <c r="DA67" s="28">
        <f t="shared" si="63"/>
        <v>66</v>
      </c>
      <c r="DB67" s="37" t="str">
        <f t="shared" ca="1" si="64"/>
        <v/>
      </c>
      <c r="DC67" s="28">
        <f t="shared" si="65"/>
        <v>66</v>
      </c>
      <c r="DD67" s="37" t="str">
        <f t="shared" ca="1" si="66"/>
        <v/>
      </c>
      <c r="DN67" s="32">
        <v>66</v>
      </c>
      <c r="DO67" s="34" t="s">
        <v>651</v>
      </c>
      <c r="DP67" s="38">
        <f t="shared" si="51"/>
        <v>0</v>
      </c>
      <c r="DQ67" s="173" t="str">
        <f t="shared" ref="DQ67:DQ130" si="74">"("&amp;LEFT(DO67,4)&amp;") "&amp;DP67</f>
        <v>(Athl) 0</v>
      </c>
      <c r="DR67" s="36" t="str">
        <f t="shared" ref="DR67:DR130" si="75">IF(DP67=0,"",DN67)</f>
        <v/>
      </c>
      <c r="DS67" s="37" t="str">
        <f t="shared" ref="DS67:DS114" si="76">IF(DN67&gt;$DR$1,"",INDEX($DQ$2:$DQ$469,SMALL($DR$2:$DR$469,DN67)))</f>
        <v>(Thie) Steal</v>
      </c>
      <c r="DV67" s="176">
        <f t="shared" si="67"/>
        <v>0</v>
      </c>
      <c r="DW67" s="243">
        <f>IF(COUNTIF('Char Sheet p1'!$AP$7:$AP$35,DQ67)=0,0,ROUNDDOWN(SUMIF('Char Sheet p1'!$AP$7:$AP$35,DQ67,'Char Sheet p1'!$AQ$7:$AQ$35)/10,0))</f>
        <v>0</v>
      </c>
      <c r="DX67" s="240">
        <f t="shared" ref="DX67:DX130" si="77">DW67+DV67</f>
        <v>0</v>
      </c>
      <c r="DY67" s="36">
        <f t="shared" si="53"/>
        <v>14</v>
      </c>
      <c r="DZ67" s="36" t="str">
        <f t="shared" si="68"/>
        <v/>
      </c>
      <c r="EE67" s="36">
        <f t="shared" si="52"/>
        <v>4</v>
      </c>
    </row>
    <row r="68" spans="1:135">
      <c r="A68" s="138" t="str">
        <f t="shared" si="69"/>
        <v>Crossbows</v>
      </c>
      <c r="B68" s="168">
        <f t="shared" ca="1" si="70"/>
        <v>0</v>
      </c>
      <c r="C68" s="32" t="s">
        <v>375</v>
      </c>
      <c r="D68" s="34" t="s">
        <v>678</v>
      </c>
      <c r="E68" s="31"/>
      <c r="F68" s="31">
        <f t="shared" ca="1" si="41"/>
        <v>0</v>
      </c>
      <c r="G68" s="34" t="s">
        <v>672</v>
      </c>
      <c r="H68" s="168">
        <f t="shared" ca="1" si="43"/>
        <v>3</v>
      </c>
      <c r="I68" s="168" t="str">
        <f t="shared" ca="1" si="44"/>
        <v/>
      </c>
      <c r="J68" s="154"/>
      <c r="K68" s="102"/>
      <c r="L68" s="31"/>
      <c r="M68" s="31"/>
      <c r="N68" s="31"/>
      <c r="O68" s="31" t="str">
        <f>IF(COUNTIF(qualities,"Massive")=0,"2h","Adaptable")</f>
        <v>2h</v>
      </c>
      <c r="P68" s="31"/>
      <c r="Q68" s="31"/>
      <c r="R68" s="31"/>
      <c r="S68" s="31"/>
      <c r="T68" s="31"/>
      <c r="U68" s="31" t="str">
        <f>IF(COUNTIF(qualities,"Massive")=1,"","Unwieldy")</f>
        <v>Unwieldy</v>
      </c>
      <c r="V68" s="168" t="s">
        <v>436</v>
      </c>
      <c r="W68" s="36" t="s">
        <v>440</v>
      </c>
      <c r="X68" s="36">
        <v>2</v>
      </c>
      <c r="Y68" s="36">
        <f t="shared" ca="1" si="45"/>
        <v>6</v>
      </c>
      <c r="Z68" s="36"/>
      <c r="AA68" s="176" t="str">
        <f t="shared" si="50"/>
        <v xml:space="preserve">2h, Unwieldy, </v>
      </c>
      <c r="AB68" s="176" t="str">
        <f t="shared" si="46"/>
        <v>2h, Unwieldy</v>
      </c>
      <c r="AC68" s="176">
        <f t="shared" si="47"/>
        <v>0</v>
      </c>
      <c r="AD68" s="176">
        <f t="shared" si="48"/>
        <v>0</v>
      </c>
      <c r="AE68" s="25"/>
      <c r="AG68" s="32" t="s">
        <v>873</v>
      </c>
      <c r="AH68" s="34" t="s">
        <v>881</v>
      </c>
      <c r="AI68" s="34"/>
      <c r="AJ68" s="31"/>
      <c r="AK68" s="31"/>
      <c r="AL68" s="31" t="str">
        <f t="shared" si="54"/>
        <v/>
      </c>
      <c r="AM68" s="31">
        <v>1</v>
      </c>
      <c r="AN68" s="31">
        <f t="shared" ref="AN68:AN131" si="78">AN67+1</f>
        <v>67</v>
      </c>
      <c r="AO68" s="35" t="s">
        <v>966</v>
      </c>
      <c r="AP68" s="134"/>
      <c r="AQ68" s="47"/>
      <c r="AR68" s="134"/>
      <c r="AS68" s="47"/>
      <c r="AT68" s="134"/>
      <c r="AU68" s="47"/>
      <c r="AV68" s="134"/>
      <c r="AW68" s="47"/>
      <c r="AX68" s="134"/>
      <c r="AY68" s="47"/>
      <c r="AZ68" s="134"/>
      <c r="BA68" s="47"/>
      <c r="BB68" s="134"/>
      <c r="BC68" s="47"/>
      <c r="BD68" s="134"/>
      <c r="BE68" s="47"/>
      <c r="BF68" s="134"/>
      <c r="BG68" s="47"/>
      <c r="BH68" s="134"/>
      <c r="BI68" s="47"/>
      <c r="BJ68" s="134"/>
      <c r="BK68" s="47"/>
      <c r="BL68" s="134"/>
      <c r="BM68" s="47"/>
      <c r="BN68" s="134"/>
      <c r="BO68" s="47"/>
      <c r="BP68" s="134"/>
      <c r="BQ68" s="47"/>
      <c r="BR68" s="134"/>
      <c r="BS68" s="47"/>
      <c r="BT68" s="134"/>
      <c r="BU68" s="47"/>
      <c r="BV68" s="134"/>
      <c r="BW68" s="47"/>
      <c r="BX68" s="134"/>
      <c r="BY68" s="47"/>
      <c r="BZ68" s="134"/>
      <c r="CA68" s="47"/>
      <c r="CB68" s="120"/>
      <c r="CC68" s="120"/>
      <c r="CD68" s="120"/>
      <c r="CE68" s="120"/>
      <c r="CF68" s="120"/>
      <c r="CG68" s="120"/>
      <c r="CH68" s="120"/>
      <c r="CI68" s="120"/>
      <c r="CJ68" s="120"/>
      <c r="CK68" s="179">
        <f t="shared" si="55"/>
        <v>67</v>
      </c>
      <c r="CL68" s="37" t="str">
        <f t="shared" ca="1" si="56"/>
        <v/>
      </c>
      <c r="CM68" s="36">
        <f t="shared" si="71"/>
        <v>67</v>
      </c>
      <c r="CN68" s="37" t="str">
        <f ca="1">IF($AN68&gt;CN$1,"",INDEX($AG$2:$AG$226,SMALL(CM$2:$CM$226,$AN68),1))</f>
        <v/>
      </c>
      <c r="CO68" s="36">
        <f t="shared" si="72"/>
        <v>67</v>
      </c>
      <c r="CP68" s="37" t="str">
        <f t="shared" ca="1" si="73"/>
        <v/>
      </c>
      <c r="CS68" s="28">
        <f t="shared" si="57"/>
        <v>67</v>
      </c>
      <c r="CT68" s="37" t="str">
        <f t="shared" ca="1" si="58"/>
        <v/>
      </c>
      <c r="CU68" s="28">
        <f t="shared" si="57"/>
        <v>67</v>
      </c>
      <c r="CV68" s="37" t="str">
        <f t="shared" ca="1" si="59"/>
        <v/>
      </c>
      <c r="CW68" s="28">
        <f t="shared" si="60"/>
        <v>67</v>
      </c>
      <c r="CX68" s="37" t="str">
        <f t="shared" ca="1" si="61"/>
        <v/>
      </c>
      <c r="CY68" s="28">
        <f t="shared" si="62"/>
        <v>67</v>
      </c>
      <c r="CZ68" s="37" t="str">
        <f t="shared" ca="1" si="61"/>
        <v/>
      </c>
      <c r="DA68" s="28">
        <f t="shared" si="63"/>
        <v>67</v>
      </c>
      <c r="DB68" s="37" t="str">
        <f t="shared" ca="1" si="64"/>
        <v/>
      </c>
      <c r="DC68" s="28">
        <f t="shared" si="65"/>
        <v>67</v>
      </c>
      <c r="DD68" s="37" t="str">
        <f t="shared" ca="1" si="66"/>
        <v/>
      </c>
      <c r="DN68" s="32">
        <v>67</v>
      </c>
      <c r="DO68" s="34" t="s">
        <v>651</v>
      </c>
      <c r="DP68" s="38">
        <f t="shared" si="51"/>
        <v>0</v>
      </c>
      <c r="DQ68" s="173" t="str">
        <f t="shared" si="74"/>
        <v>(Athl) 0</v>
      </c>
      <c r="DR68" s="36" t="str">
        <f t="shared" si="75"/>
        <v/>
      </c>
      <c r="DS68" s="37" t="str">
        <f t="shared" si="76"/>
        <v>(Warf) Command</v>
      </c>
      <c r="DV68" s="176">
        <f t="shared" si="67"/>
        <v>0</v>
      </c>
      <c r="DW68" s="243">
        <f>IF(COUNTIF('Char Sheet p1'!$AP$7:$AP$35,DQ68)=0,0,ROUNDDOWN(SUMIF('Char Sheet p1'!$AP$7:$AP$35,DQ68,'Char Sheet p1'!$AQ$7:$AQ$35)/10,0))</f>
        <v>0</v>
      </c>
      <c r="DX68" s="240">
        <f t="shared" si="77"/>
        <v>0</v>
      </c>
      <c r="DY68" s="36">
        <f t="shared" si="53"/>
        <v>15</v>
      </c>
      <c r="DZ68" s="36" t="str">
        <f t="shared" si="68"/>
        <v/>
      </c>
      <c r="EE68" s="36">
        <f t="shared" si="52"/>
        <v>4</v>
      </c>
    </row>
    <row r="69" spans="1:135">
      <c r="A69" s="138" t="str">
        <f t="shared" si="69"/>
        <v>Siege</v>
      </c>
      <c r="B69" s="168">
        <f t="shared" ca="1" si="70"/>
        <v>0</v>
      </c>
      <c r="C69" s="32" t="s">
        <v>376</v>
      </c>
      <c r="D69" s="34" t="s">
        <v>678</v>
      </c>
      <c r="E69" s="31">
        <v>1</v>
      </c>
      <c r="F69" s="31">
        <f t="shared" ca="1" si="41"/>
        <v>-1</v>
      </c>
      <c r="G69" s="34" t="s">
        <v>672</v>
      </c>
      <c r="H69" s="168">
        <f t="shared" ca="1" si="43"/>
        <v>2</v>
      </c>
      <c r="I69" s="168" t="str">
        <f t="shared" ca="1" si="44"/>
        <v/>
      </c>
      <c r="J69" s="154"/>
      <c r="K69" s="102"/>
      <c r="L69" s="31" t="s">
        <v>423</v>
      </c>
      <c r="M69" s="31"/>
      <c r="N69" s="31"/>
      <c r="O69" s="31" t="str">
        <f>IF(COUNTIF(qualities,"Massive")=0,"2h","Adaptable")</f>
        <v>2h</v>
      </c>
      <c r="P69" s="31"/>
      <c r="Q69" s="31"/>
      <c r="R69" s="31">
        <f ca="1">powerful</f>
        <v>0</v>
      </c>
      <c r="S69" s="31"/>
      <c r="T69" s="31"/>
      <c r="U69" s="31" t="str">
        <f>IF(COUNTIF(qualities,"Massive")=1,"","Unwieldy")</f>
        <v>Unwieldy</v>
      </c>
      <c r="V69" s="168" t="s">
        <v>436</v>
      </c>
      <c r="W69" s="36" t="s">
        <v>440</v>
      </c>
      <c r="X69" s="36">
        <v>3</v>
      </c>
      <c r="Y69" s="36">
        <f t="shared" ca="1" si="45"/>
        <v>7</v>
      </c>
      <c r="Z69" s="36"/>
      <c r="AA69" s="176" t="str">
        <f t="shared" si="50"/>
        <v xml:space="preserve">Reach, 2h, Unwieldy, </v>
      </c>
      <c r="AB69" s="176" t="str">
        <f t="shared" si="46"/>
        <v>Reach, 2h, Unwieldy</v>
      </c>
      <c r="AC69" s="176">
        <f t="shared" si="47"/>
        <v>0</v>
      </c>
      <c r="AD69" s="176">
        <f t="shared" si="48"/>
        <v>0</v>
      </c>
      <c r="AE69" s="25"/>
      <c r="AG69" s="32" t="s">
        <v>759</v>
      </c>
      <c r="AH69" s="34" t="s">
        <v>773</v>
      </c>
      <c r="AI69" s="34" t="s">
        <v>794</v>
      </c>
      <c r="AJ69" s="31"/>
      <c r="AK69" s="31"/>
      <c r="AL69" s="31" t="str">
        <f t="shared" si="54"/>
        <v/>
      </c>
      <c r="AM69" s="31">
        <f ca="1">N(AND(stealth&gt;3,SUMIF(stespec,"Sneak",stespecval)&gt;0))</f>
        <v>1</v>
      </c>
      <c r="AN69" s="31">
        <f t="shared" si="78"/>
        <v>68</v>
      </c>
      <c r="AO69" s="35" t="s">
        <v>811</v>
      </c>
      <c r="AP69" s="134"/>
      <c r="AQ69" s="47"/>
      <c r="AR69" s="134"/>
      <c r="AS69" s="47"/>
      <c r="AT69" s="134"/>
      <c r="AU69" s="47"/>
      <c r="AV69" s="134"/>
      <c r="AW69" s="47"/>
      <c r="AX69" s="134"/>
      <c r="AY69" s="47"/>
      <c r="AZ69" s="134"/>
      <c r="BA69" s="47"/>
      <c r="BB69" s="134"/>
      <c r="BC69" s="47"/>
      <c r="BD69" s="134"/>
      <c r="BE69" s="47"/>
      <c r="BF69" s="134"/>
      <c r="BG69" s="47"/>
      <c r="BH69" s="134"/>
      <c r="BI69" s="47"/>
      <c r="BJ69" s="134"/>
      <c r="BK69" s="47"/>
      <c r="BL69" s="134"/>
      <c r="BM69" s="47"/>
      <c r="BN69" s="134"/>
      <c r="BO69" s="47"/>
      <c r="BP69" s="134"/>
      <c r="BQ69" s="47"/>
      <c r="BR69" s="134"/>
      <c r="BS69" s="47"/>
      <c r="BT69" s="134"/>
      <c r="BU69" s="47"/>
      <c r="BV69" s="134"/>
      <c r="BW69" s="47"/>
      <c r="BX69" s="134"/>
      <c r="BY69" s="47"/>
      <c r="BZ69" s="134"/>
      <c r="CA69" s="47"/>
      <c r="CB69" s="120"/>
      <c r="CC69" s="120"/>
      <c r="CD69" s="120"/>
      <c r="CE69" s="120"/>
      <c r="CF69" s="120"/>
      <c r="CG69" s="120"/>
      <c r="CH69" s="120"/>
      <c r="CI69" s="120"/>
      <c r="CJ69" s="120"/>
      <c r="CK69" s="179" t="str">
        <f t="shared" ca="1" si="55"/>
        <v/>
      </c>
      <c r="CL69" s="37" t="str">
        <f t="shared" ca="1" si="56"/>
        <v/>
      </c>
      <c r="CM69" s="36" t="str">
        <f t="shared" ca="1" si="71"/>
        <v/>
      </c>
      <c r="CN69" s="37" t="str">
        <f ca="1">IF($AN69&gt;CN$1,"",INDEX($AG$2:$AG$226,SMALL(CM$2:$CM$226,$AN69),1))</f>
        <v/>
      </c>
      <c r="CO69" s="36">
        <f t="shared" ca="1" si="72"/>
        <v>68</v>
      </c>
      <c r="CP69" s="37" t="str">
        <f t="shared" ca="1" si="73"/>
        <v/>
      </c>
      <c r="CS69" s="28" t="str">
        <f t="shared" ca="1" si="57"/>
        <v/>
      </c>
      <c r="CT69" s="37" t="str">
        <f t="shared" ca="1" si="58"/>
        <v/>
      </c>
      <c r="CU69" s="28" t="str">
        <f t="shared" ca="1" si="57"/>
        <v/>
      </c>
      <c r="CV69" s="37" t="str">
        <f t="shared" ca="1" si="59"/>
        <v/>
      </c>
      <c r="CW69" s="28" t="str">
        <f t="shared" ca="1" si="60"/>
        <v/>
      </c>
      <c r="CX69" s="37" t="str">
        <f t="shared" ca="1" si="61"/>
        <v/>
      </c>
      <c r="CY69" s="28" t="str">
        <f t="shared" ca="1" si="62"/>
        <v/>
      </c>
      <c r="CZ69" s="37" t="str">
        <f t="shared" ca="1" si="61"/>
        <v/>
      </c>
      <c r="DA69" s="28" t="str">
        <f t="shared" ca="1" si="63"/>
        <v/>
      </c>
      <c r="DB69" s="37" t="str">
        <f t="shared" ca="1" si="64"/>
        <v/>
      </c>
      <c r="DC69" s="28" t="str">
        <f t="shared" ca="1" si="65"/>
        <v/>
      </c>
      <c r="DD69" s="37" t="str">
        <f t="shared" ca="1" si="66"/>
        <v/>
      </c>
      <c r="DN69" s="32">
        <v>68</v>
      </c>
      <c r="DO69" s="34" t="s">
        <v>651</v>
      </c>
      <c r="DP69" s="38">
        <f t="shared" si="51"/>
        <v>0</v>
      </c>
      <c r="DQ69" s="173" t="str">
        <f t="shared" si="74"/>
        <v>(Athl) 0</v>
      </c>
      <c r="DR69" s="36" t="str">
        <f t="shared" si="75"/>
        <v/>
      </c>
      <c r="DS69" s="37" t="str">
        <f t="shared" si="76"/>
        <v>(Warf) Strategy</v>
      </c>
      <c r="DV69" s="176">
        <f t="shared" si="67"/>
        <v>0</v>
      </c>
      <c r="DW69" s="243">
        <f>IF(COUNTIF('Char Sheet p1'!$AP$7:$AP$35,DQ69)=0,0,ROUNDDOWN(SUMIF('Char Sheet p1'!$AP$7:$AP$35,DQ69,'Char Sheet p1'!$AQ$7:$AQ$35)/10,0))</f>
        <v>0</v>
      </c>
      <c r="DX69" s="240">
        <f t="shared" si="77"/>
        <v>0</v>
      </c>
      <c r="DY69" s="36">
        <f t="shared" si="53"/>
        <v>16</v>
      </c>
      <c r="DZ69" s="36" t="str">
        <f t="shared" si="68"/>
        <v/>
      </c>
      <c r="EE69" s="36">
        <f t="shared" si="52"/>
        <v>4</v>
      </c>
    </row>
    <row r="70" spans="1:135">
      <c r="A70" s="138" t="str">
        <f t="shared" si="69"/>
        <v>Thrown</v>
      </c>
      <c r="B70" s="168">
        <f t="shared" ca="1" si="70"/>
        <v>0</v>
      </c>
      <c r="C70" s="32" t="s">
        <v>377</v>
      </c>
      <c r="D70" s="34" t="s">
        <v>679</v>
      </c>
      <c r="E70" s="31"/>
      <c r="F70" s="31">
        <f t="shared" ca="1" si="41"/>
        <v>0</v>
      </c>
      <c r="G70" s="34" t="s">
        <v>672</v>
      </c>
      <c r="H70" s="168">
        <f t="shared" ca="1" si="43"/>
        <v>3</v>
      </c>
      <c r="I70" s="168" t="str">
        <f t="shared" ca="1" si="44"/>
        <v/>
      </c>
      <c r="J70" s="154"/>
      <c r="K70" s="102">
        <v>1</v>
      </c>
      <c r="L70" s="31"/>
      <c r="M70" s="31">
        <f>1+COUNTIF(qualities,$AG$111)</f>
        <v>1</v>
      </c>
      <c r="N70" s="31"/>
      <c r="O70" s="31"/>
      <c r="P70" s="31">
        <v>1</v>
      </c>
      <c r="Q70" s="31"/>
      <c r="R70" s="31"/>
      <c r="S70" s="31"/>
      <c r="T70" s="31"/>
      <c r="U70" s="31"/>
      <c r="V70" s="168" t="s">
        <v>436</v>
      </c>
      <c r="W70" s="36" t="s">
        <v>440</v>
      </c>
      <c r="X70" s="36">
        <v>-2</v>
      </c>
      <c r="Y70" s="36">
        <f t="shared" ca="1" si="45"/>
        <v>2</v>
      </c>
      <c r="Z70" s="36"/>
      <c r="AA70" s="176" t="str">
        <f t="shared" si="50"/>
        <v xml:space="preserve">Bulk 1, Def+1, Off-hand+1, </v>
      </c>
      <c r="AB70" s="176" t="str">
        <f t="shared" si="46"/>
        <v>Bulk 1, Def+1, Off-hand+1</v>
      </c>
      <c r="AC70" s="176">
        <f t="shared" si="47"/>
        <v>0</v>
      </c>
      <c r="AD70" s="176">
        <f t="shared" si="48"/>
        <v>0</v>
      </c>
      <c r="AE70" s="25"/>
      <c r="AG70" s="32" t="s">
        <v>849</v>
      </c>
      <c r="AH70" s="34" t="s">
        <v>880</v>
      </c>
      <c r="AI70" s="34" t="s">
        <v>920</v>
      </c>
      <c r="AJ70" s="31"/>
      <c r="AK70" s="31"/>
      <c r="AL70" s="31" t="str">
        <f t="shared" si="54"/>
        <v/>
      </c>
      <c r="AM70" s="31">
        <f ca="1">N(AND(athletics&gt;3,SUMIF(athspec,"Strength",athspecval)&gt;1))</f>
        <v>0</v>
      </c>
      <c r="AN70" s="31">
        <f t="shared" si="78"/>
        <v>69</v>
      </c>
      <c r="AO70" s="35" t="s">
        <v>65</v>
      </c>
      <c r="AP70" s="134"/>
      <c r="AQ70" s="47"/>
      <c r="AR70" s="134"/>
      <c r="AS70" s="47"/>
      <c r="AT70" s="134"/>
      <c r="AU70" s="47"/>
      <c r="AV70" s="134"/>
      <c r="AW70" s="47"/>
      <c r="AX70" s="134"/>
      <c r="AY70" s="47"/>
      <c r="AZ70" s="134"/>
      <c r="BA70" s="47"/>
      <c r="BB70" s="134"/>
      <c r="BC70" s="47"/>
      <c r="BD70" s="134"/>
      <c r="BE70" s="47"/>
      <c r="BF70" s="134"/>
      <c r="BG70" s="47"/>
      <c r="BH70" s="134"/>
      <c r="BI70" s="47"/>
      <c r="BJ70" s="134"/>
      <c r="BK70" s="47"/>
      <c r="BL70" s="134"/>
      <c r="BM70" s="47"/>
      <c r="BN70" s="134"/>
      <c r="BO70" s="47"/>
      <c r="BP70" s="134"/>
      <c r="BQ70" s="47"/>
      <c r="BR70" s="134"/>
      <c r="BS70" s="47"/>
      <c r="BT70" s="134"/>
      <c r="BU70" s="47"/>
      <c r="BV70" s="134"/>
      <c r="BW70" s="47"/>
      <c r="BX70" s="134"/>
      <c r="BY70" s="47"/>
      <c r="BZ70" s="134"/>
      <c r="CA70" s="47"/>
      <c r="CB70" s="120"/>
      <c r="CC70" s="120"/>
      <c r="CD70" s="120"/>
      <c r="CE70" s="120"/>
      <c r="CF70" s="120"/>
      <c r="CG70" s="120"/>
      <c r="CH70" s="120"/>
      <c r="CI70" s="120"/>
      <c r="CJ70" s="120"/>
      <c r="CK70" s="179" t="str">
        <f t="shared" ca="1" si="55"/>
        <v/>
      </c>
      <c r="CL70" s="37" t="str">
        <f t="shared" ca="1" si="56"/>
        <v/>
      </c>
      <c r="CM70" s="36" t="str">
        <f t="shared" ca="1" si="71"/>
        <v/>
      </c>
      <c r="CN70" s="37" t="str">
        <f ca="1">IF($AN70&gt;CN$1,"",INDEX($AG$2:$AG$226,SMALL(CM$2:$CM$226,$AN70),1))</f>
        <v/>
      </c>
      <c r="CO70" s="36" t="str">
        <f t="shared" ca="1" si="72"/>
        <v/>
      </c>
      <c r="CP70" s="37" t="str">
        <f t="shared" ca="1" si="73"/>
        <v/>
      </c>
      <c r="CS70" s="28" t="str">
        <f t="shared" ca="1" si="57"/>
        <v/>
      </c>
      <c r="CT70" s="37" t="str">
        <f t="shared" ca="1" si="58"/>
        <v/>
      </c>
      <c r="CU70" s="28" t="str">
        <f t="shared" ca="1" si="57"/>
        <v/>
      </c>
      <c r="CV70" s="37" t="str">
        <f t="shared" ca="1" si="59"/>
        <v/>
      </c>
      <c r="CW70" s="28" t="str">
        <f t="shared" ca="1" si="60"/>
        <v/>
      </c>
      <c r="CX70" s="37" t="str">
        <f t="shared" ca="1" si="61"/>
        <v/>
      </c>
      <c r="CY70" s="28" t="str">
        <f t="shared" ca="1" si="62"/>
        <v/>
      </c>
      <c r="CZ70" s="37" t="str">
        <f t="shared" ca="1" si="61"/>
        <v/>
      </c>
      <c r="DA70" s="28" t="str">
        <f t="shared" ca="1" si="63"/>
        <v/>
      </c>
      <c r="DB70" s="37" t="str">
        <f t="shared" ca="1" si="64"/>
        <v/>
      </c>
      <c r="DC70" s="28" t="str">
        <f t="shared" ca="1" si="65"/>
        <v/>
      </c>
      <c r="DD70" s="37" t="str">
        <f t="shared" ca="1" si="66"/>
        <v/>
      </c>
      <c r="DN70" s="32">
        <v>69</v>
      </c>
      <c r="DO70" s="34" t="s">
        <v>651</v>
      </c>
      <c r="DP70" s="38">
        <f t="shared" si="51"/>
        <v>0</v>
      </c>
      <c r="DQ70" s="173" t="str">
        <f t="shared" si="74"/>
        <v>(Athl) 0</v>
      </c>
      <c r="DR70" s="36" t="str">
        <f t="shared" si="75"/>
        <v/>
      </c>
      <c r="DS70" s="37" t="str">
        <f t="shared" si="76"/>
        <v>(Warf) Tactics</v>
      </c>
      <c r="DV70" s="176">
        <f t="shared" si="67"/>
        <v>0</v>
      </c>
      <c r="DW70" s="243">
        <f>IF(COUNTIF('Char Sheet p1'!$AP$7:$AP$35,DQ70)=0,0,ROUNDDOWN(SUMIF('Char Sheet p1'!$AP$7:$AP$35,DQ70,'Char Sheet p1'!$AQ$7:$AQ$35)/10,0))</f>
        <v>0</v>
      </c>
      <c r="DX70" s="240">
        <f t="shared" si="77"/>
        <v>0</v>
      </c>
      <c r="DY70" s="36">
        <f t="shared" si="53"/>
        <v>17</v>
      </c>
      <c r="DZ70" s="36" t="str">
        <f t="shared" si="68"/>
        <v/>
      </c>
      <c r="EE70" s="36">
        <f t="shared" si="52"/>
        <v>4</v>
      </c>
    </row>
    <row r="71" spans="1:135">
      <c r="A71" s="138" t="str">
        <f t="shared" si="69"/>
        <v>Target Shooting</v>
      </c>
      <c r="B71" s="168">
        <f t="shared" ca="1" si="70"/>
        <v>0</v>
      </c>
      <c r="C71" s="32" t="s">
        <v>378</v>
      </c>
      <c r="D71" s="34" t="s">
        <v>679</v>
      </c>
      <c r="E71" s="31"/>
      <c r="F71" s="31">
        <f t="shared" ca="1" si="41"/>
        <v>0</v>
      </c>
      <c r="G71" s="34" t="s">
        <v>672</v>
      </c>
      <c r="H71" s="168">
        <f t="shared" ca="1" si="43"/>
        <v>3</v>
      </c>
      <c r="I71" s="168" t="str">
        <f t="shared" ca="1" si="44"/>
        <v/>
      </c>
      <c r="J71" s="154"/>
      <c r="K71" s="102"/>
      <c r="L71" s="31"/>
      <c r="M71" s="31">
        <f>2+COUNTIF(qualities,$AG$111)</f>
        <v>2</v>
      </c>
      <c r="N71" s="31"/>
      <c r="O71" s="31"/>
      <c r="P71" s="31"/>
      <c r="Q71" s="31"/>
      <c r="R71" s="31"/>
      <c r="S71" s="31"/>
      <c r="T71" s="31"/>
      <c r="U71" s="31"/>
      <c r="V71" s="168" t="s">
        <v>436</v>
      </c>
      <c r="W71" s="36" t="s">
        <v>440</v>
      </c>
      <c r="X71" s="36">
        <v>-2</v>
      </c>
      <c r="Y71" s="36">
        <f t="shared" ca="1" si="45"/>
        <v>2</v>
      </c>
      <c r="Z71" s="36"/>
      <c r="AA71" s="176" t="str">
        <f t="shared" si="50"/>
        <v xml:space="preserve">Def+2, </v>
      </c>
      <c r="AB71" s="176" t="str">
        <f t="shared" si="46"/>
        <v>Def+2</v>
      </c>
      <c r="AC71" s="176">
        <f t="shared" si="47"/>
        <v>0</v>
      </c>
      <c r="AD71" s="176">
        <f t="shared" si="48"/>
        <v>0</v>
      </c>
      <c r="AE71" s="25"/>
      <c r="AG71" s="32" t="s">
        <v>71</v>
      </c>
      <c r="AH71" s="34" t="s">
        <v>773</v>
      </c>
      <c r="AI71" s="34" t="s">
        <v>795</v>
      </c>
      <c r="AJ71" s="31"/>
      <c r="AK71" s="31"/>
      <c r="AL71" s="31" t="str">
        <f t="shared" si="54"/>
        <v/>
      </c>
      <c r="AM71" s="31">
        <f>N(athletics&gt;3)</f>
        <v>1</v>
      </c>
      <c r="AN71" s="31">
        <f t="shared" si="78"/>
        <v>70</v>
      </c>
      <c r="AO71" s="47" t="s">
        <v>66</v>
      </c>
      <c r="AP71" s="134"/>
      <c r="AQ71" s="47"/>
      <c r="AR71" s="134"/>
      <c r="AS71" s="47"/>
      <c r="AT71" s="134"/>
      <c r="AU71" s="47"/>
      <c r="AV71" s="134"/>
      <c r="AW71" s="47"/>
      <c r="AX71" s="134"/>
      <c r="AY71" s="47"/>
      <c r="AZ71" s="134"/>
      <c r="BA71" s="47"/>
      <c r="BB71" s="134"/>
      <c r="BC71" s="47"/>
      <c r="BD71" s="134"/>
      <c r="BE71" s="47"/>
      <c r="BF71" s="134"/>
      <c r="BG71" s="47"/>
      <c r="BH71" s="134"/>
      <c r="BI71" s="47"/>
      <c r="BJ71" s="134"/>
      <c r="BK71" s="47"/>
      <c r="BL71" s="134"/>
      <c r="BM71" s="47"/>
      <c r="BN71" s="134"/>
      <c r="BO71" s="47"/>
      <c r="BP71" s="134"/>
      <c r="BQ71" s="47"/>
      <c r="BR71" s="134"/>
      <c r="BS71" s="47"/>
      <c r="BT71" s="134"/>
      <c r="BU71" s="47"/>
      <c r="BV71" s="134"/>
      <c r="BW71" s="47"/>
      <c r="BX71" s="134"/>
      <c r="BY71" s="47"/>
      <c r="BZ71" s="134"/>
      <c r="CA71" s="47"/>
      <c r="CB71" s="120"/>
      <c r="CC71" s="120"/>
      <c r="CD71" s="120"/>
      <c r="CE71" s="120"/>
      <c r="CF71" s="120"/>
      <c r="CG71" s="120"/>
      <c r="CH71" s="120"/>
      <c r="CI71" s="120"/>
      <c r="CJ71" s="120"/>
      <c r="CK71" s="179">
        <f t="shared" si="55"/>
        <v>70</v>
      </c>
      <c r="CL71" s="37" t="str">
        <f t="shared" ca="1" si="56"/>
        <v/>
      </c>
      <c r="CM71" s="36">
        <f t="shared" si="71"/>
        <v>70</v>
      </c>
      <c r="CN71" s="37" t="str">
        <f ca="1">IF($AN71&gt;CN$1,"",INDEX($AG$2:$AG$226,SMALL(CM$2:$CM$226,$AN71),1))</f>
        <v/>
      </c>
      <c r="CO71" s="36">
        <f t="shared" si="72"/>
        <v>70</v>
      </c>
      <c r="CP71" s="37" t="str">
        <f t="shared" ca="1" si="73"/>
        <v/>
      </c>
      <c r="CS71" s="28">
        <f t="shared" si="57"/>
        <v>70</v>
      </c>
      <c r="CT71" s="37" t="str">
        <f t="shared" ca="1" si="58"/>
        <v/>
      </c>
      <c r="CU71" s="28">
        <f t="shared" si="57"/>
        <v>70</v>
      </c>
      <c r="CV71" s="37" t="str">
        <f t="shared" ca="1" si="59"/>
        <v/>
      </c>
      <c r="CW71" s="28">
        <f t="shared" si="60"/>
        <v>70</v>
      </c>
      <c r="CX71" s="37" t="str">
        <f t="shared" ca="1" si="61"/>
        <v/>
      </c>
      <c r="CY71" s="28">
        <f t="shared" si="62"/>
        <v>70</v>
      </c>
      <c r="CZ71" s="37" t="str">
        <f t="shared" ca="1" si="61"/>
        <v/>
      </c>
      <c r="DA71" s="28">
        <f t="shared" si="63"/>
        <v>70</v>
      </c>
      <c r="DB71" s="37" t="str">
        <f t="shared" ca="1" si="64"/>
        <v/>
      </c>
      <c r="DC71" s="28">
        <f t="shared" si="65"/>
        <v>70</v>
      </c>
      <c r="DD71" s="37" t="str">
        <f t="shared" ca="1" si="66"/>
        <v/>
      </c>
      <c r="DN71" s="32">
        <v>70</v>
      </c>
      <c r="DO71" s="34" t="s">
        <v>651</v>
      </c>
      <c r="DP71" s="38">
        <f t="shared" si="51"/>
        <v>0</v>
      </c>
      <c r="DQ71" s="173" t="str">
        <f t="shared" si="74"/>
        <v>(Athl) 0</v>
      </c>
      <c r="DR71" s="36" t="str">
        <f t="shared" si="75"/>
        <v/>
      </c>
      <c r="DS71" s="37" t="str">
        <f t="shared" si="76"/>
        <v>(Will) Coordinate</v>
      </c>
      <c r="DV71" s="176">
        <f t="shared" si="67"/>
        <v>0</v>
      </c>
      <c r="DW71" s="243">
        <f>IF(COUNTIF('Char Sheet p1'!$AP$7:$AP$35,DQ71)=0,0,ROUNDDOWN(SUMIF('Char Sheet p1'!$AP$7:$AP$35,DQ71,'Char Sheet p1'!$AQ$7:$AQ$35)/10,0))</f>
        <v>0</v>
      </c>
      <c r="DX71" s="240">
        <f t="shared" si="77"/>
        <v>0</v>
      </c>
      <c r="DY71" s="36">
        <f t="shared" si="53"/>
        <v>18</v>
      </c>
      <c r="DZ71" s="36" t="str">
        <f t="shared" si="68"/>
        <v/>
      </c>
      <c r="EE71" s="36">
        <f t="shared" si="52"/>
        <v>4</v>
      </c>
    </row>
    <row r="72" spans="1:135">
      <c r="A72" s="138">
        <f t="shared" si="69"/>
        <v>0</v>
      </c>
      <c r="B72" s="168">
        <f t="shared" si="70"/>
        <v>0</v>
      </c>
      <c r="C72" s="32" t="s">
        <v>379</v>
      </c>
      <c r="D72" s="34" t="s">
        <v>679</v>
      </c>
      <c r="E72" s="31">
        <v>1</v>
      </c>
      <c r="F72" s="31">
        <f t="shared" ca="1" si="41"/>
        <v>-1</v>
      </c>
      <c r="G72" s="34" t="s">
        <v>672</v>
      </c>
      <c r="H72" s="168">
        <f t="shared" ca="1" si="43"/>
        <v>2</v>
      </c>
      <c r="I72" s="168" t="str">
        <f t="shared" ca="1" si="44"/>
        <v/>
      </c>
      <c r="J72" s="154"/>
      <c r="K72" s="102">
        <v>1</v>
      </c>
      <c r="L72" s="31"/>
      <c r="M72" s="31">
        <f>4+COUNTIF(qualities,$AG$111)</f>
        <v>4</v>
      </c>
      <c r="N72" s="31"/>
      <c r="O72" s="31"/>
      <c r="P72" s="31"/>
      <c r="Q72" s="31"/>
      <c r="R72" s="31"/>
      <c r="S72" s="31"/>
      <c r="T72" s="31"/>
      <c r="U72" s="31"/>
      <c r="V72" s="168" t="s">
        <v>436</v>
      </c>
      <c r="W72" s="36" t="s">
        <v>440</v>
      </c>
      <c r="X72" s="36">
        <v>-2</v>
      </c>
      <c r="Y72" s="36">
        <f t="shared" ca="1" si="45"/>
        <v>2</v>
      </c>
      <c r="Z72" s="36"/>
      <c r="AA72" s="176" t="str">
        <f t="shared" si="50"/>
        <v xml:space="preserve">Bulk 1, Def+4, </v>
      </c>
      <c r="AB72" s="176" t="str">
        <f t="shared" si="46"/>
        <v>Bulk 1, Def+4</v>
      </c>
      <c r="AC72" s="176">
        <f t="shared" si="47"/>
        <v>0</v>
      </c>
      <c r="AD72" s="176">
        <f t="shared" si="48"/>
        <v>0</v>
      </c>
      <c r="AE72" s="25"/>
      <c r="AG72" s="32" t="s">
        <v>72</v>
      </c>
      <c r="AH72" s="34" t="s">
        <v>773</v>
      </c>
      <c r="AI72" s="34" t="s">
        <v>795</v>
      </c>
      <c r="AJ72" s="31"/>
      <c r="AK72" s="31"/>
      <c r="AL72" s="31" t="str">
        <f t="shared" si="54"/>
        <v/>
      </c>
      <c r="AM72" s="31">
        <f>N(athletics&gt;3)</f>
        <v>1</v>
      </c>
      <c r="AN72" s="31">
        <f t="shared" si="78"/>
        <v>71</v>
      </c>
      <c r="AO72" s="47" t="s">
        <v>67</v>
      </c>
      <c r="AP72" s="134"/>
      <c r="AQ72" s="47"/>
      <c r="AR72" s="134"/>
      <c r="AS72" s="47"/>
      <c r="AT72" s="134"/>
      <c r="AU72" s="47"/>
      <c r="AV72" s="134"/>
      <c r="AW72" s="47"/>
      <c r="AX72" s="134"/>
      <c r="AY72" s="47"/>
      <c r="AZ72" s="134"/>
      <c r="BA72" s="47"/>
      <c r="BB72" s="134"/>
      <c r="BC72" s="47"/>
      <c r="BD72" s="134"/>
      <c r="BE72" s="47"/>
      <c r="BF72" s="134"/>
      <c r="BG72" s="47"/>
      <c r="BH72" s="134"/>
      <c r="BI72" s="47"/>
      <c r="BJ72" s="134"/>
      <c r="BK72" s="47"/>
      <c r="BL72" s="134"/>
      <c r="BM72" s="47"/>
      <c r="BN72" s="134"/>
      <c r="BO72" s="47"/>
      <c r="BP72" s="134"/>
      <c r="BQ72" s="47"/>
      <c r="BR72" s="134"/>
      <c r="BS72" s="47"/>
      <c r="BT72" s="134"/>
      <c r="BU72" s="47"/>
      <c r="BV72" s="134"/>
      <c r="BW72" s="47"/>
      <c r="BX72" s="134"/>
      <c r="BY72" s="47"/>
      <c r="BZ72" s="134"/>
      <c r="CA72" s="47"/>
      <c r="CB72" s="120"/>
      <c r="CC72" s="120"/>
      <c r="CD72" s="120"/>
      <c r="CE72" s="120"/>
      <c r="CF72" s="120"/>
      <c r="CG72" s="120"/>
      <c r="CH72" s="120"/>
      <c r="CI72" s="120"/>
      <c r="CJ72" s="120"/>
      <c r="CK72" s="179">
        <f t="shared" si="55"/>
        <v>71</v>
      </c>
      <c r="CL72" s="37" t="str">
        <f t="shared" ca="1" si="56"/>
        <v/>
      </c>
      <c r="CM72" s="36">
        <f t="shared" si="71"/>
        <v>71</v>
      </c>
      <c r="CN72" s="37" t="str">
        <f ca="1">IF($AN72&gt;CN$1,"",INDEX($AG$2:$AG$226,SMALL(CM$2:$CM$226,$AN72),1))</f>
        <v/>
      </c>
      <c r="CO72" s="36">
        <f t="shared" si="72"/>
        <v>71</v>
      </c>
      <c r="CP72" s="37" t="str">
        <f t="shared" ca="1" si="73"/>
        <v/>
      </c>
      <c r="CS72" s="28">
        <f t="shared" si="57"/>
        <v>71</v>
      </c>
      <c r="CT72" s="37" t="str">
        <f t="shared" ca="1" si="58"/>
        <v/>
      </c>
      <c r="CU72" s="28">
        <f t="shared" si="57"/>
        <v>71</v>
      </c>
      <c r="CV72" s="37" t="str">
        <f t="shared" ca="1" si="59"/>
        <v/>
      </c>
      <c r="CW72" s="28">
        <f t="shared" si="60"/>
        <v>71</v>
      </c>
      <c r="CX72" s="37" t="str">
        <f t="shared" ca="1" si="61"/>
        <v/>
      </c>
      <c r="CY72" s="28">
        <f t="shared" si="62"/>
        <v>71</v>
      </c>
      <c r="CZ72" s="37" t="str">
        <f t="shared" ca="1" si="61"/>
        <v/>
      </c>
      <c r="DA72" s="28">
        <f t="shared" si="63"/>
        <v>71</v>
      </c>
      <c r="DB72" s="37" t="str">
        <f t="shared" ca="1" si="64"/>
        <v/>
      </c>
      <c r="DC72" s="28">
        <f t="shared" si="65"/>
        <v>71</v>
      </c>
      <c r="DD72" s="37" t="str">
        <f t="shared" ca="1" si="66"/>
        <v/>
      </c>
      <c r="DN72" s="32">
        <v>71</v>
      </c>
      <c r="DO72" s="34" t="s">
        <v>651</v>
      </c>
      <c r="DP72" s="38">
        <f t="shared" si="51"/>
        <v>0</v>
      </c>
      <c r="DQ72" s="173" t="str">
        <f t="shared" si="74"/>
        <v>(Athl) 0</v>
      </c>
      <c r="DR72" s="36" t="str">
        <f t="shared" si="75"/>
        <v/>
      </c>
      <c r="DS72" s="37" t="str">
        <f t="shared" si="76"/>
        <v>(Will) Courage</v>
      </c>
      <c r="DV72" s="176">
        <f t="shared" si="67"/>
        <v>0</v>
      </c>
      <c r="DW72" s="243">
        <f>IF(COUNTIF('Char Sheet p1'!$AP$7:$AP$35,DQ72)=0,0,ROUNDDOWN(SUMIF('Char Sheet p1'!$AP$7:$AP$35,DQ72,'Char Sheet p1'!$AQ$7:$AQ$35)/10,0))</f>
        <v>0</v>
      </c>
      <c r="DX72" s="240">
        <f t="shared" si="77"/>
        <v>0</v>
      </c>
      <c r="DY72" s="36">
        <f t="shared" si="53"/>
        <v>19</v>
      </c>
      <c r="DZ72" s="36" t="str">
        <f t="shared" si="68"/>
        <v/>
      </c>
      <c r="EE72" s="36">
        <f t="shared" si="52"/>
        <v>4</v>
      </c>
    </row>
    <row r="73" spans="1:135">
      <c r="A73" s="138">
        <f t="shared" si="69"/>
        <v>0</v>
      </c>
      <c r="B73" s="168">
        <f t="shared" si="70"/>
        <v>0</v>
      </c>
      <c r="C73" s="32" t="s">
        <v>381</v>
      </c>
      <c r="D73" s="34" t="s">
        <v>679</v>
      </c>
      <c r="E73" s="31">
        <v>1</v>
      </c>
      <c r="F73" s="31">
        <f t="shared" ref="F73:F104" ca="1" si="79">IF(D73="","",VLOOKUP(D73,weapontypes,2,FALSE)-E73+IF(COUNTIF(qualities,$AG$155)=0,0,E73))</f>
        <v>-1</v>
      </c>
      <c r="G73" s="34" t="s">
        <v>672</v>
      </c>
      <c r="H73" s="168">
        <f t="shared" ca="1" si="43"/>
        <v>2</v>
      </c>
      <c r="I73" s="168" t="str">
        <f t="shared" ca="1" si="44"/>
        <v/>
      </c>
      <c r="J73" s="154"/>
      <c r="K73" s="102">
        <v>2</v>
      </c>
      <c r="L73" s="31"/>
      <c r="M73" s="31">
        <f>6+COUNTIF(qualities,$AG$111)</f>
        <v>6</v>
      </c>
      <c r="N73" s="31"/>
      <c r="O73" s="31"/>
      <c r="P73" s="31"/>
      <c r="Q73" s="31"/>
      <c r="R73" s="31"/>
      <c r="S73" s="31"/>
      <c r="T73" s="31"/>
      <c r="U73" s="31"/>
      <c r="V73" s="168" t="s">
        <v>436</v>
      </c>
      <c r="W73" s="36" t="s">
        <v>440</v>
      </c>
      <c r="X73" s="36">
        <v>-2</v>
      </c>
      <c r="Y73" s="36">
        <f t="shared" ca="1" si="45"/>
        <v>2</v>
      </c>
      <c r="Z73" s="36"/>
      <c r="AA73" s="176" t="str">
        <f t="shared" si="50"/>
        <v xml:space="preserve">Bulk 2, Def+6, </v>
      </c>
      <c r="AB73" s="176" t="str">
        <f t="shared" si="46"/>
        <v>Bulk 2, Def+6</v>
      </c>
      <c r="AC73" s="176">
        <f t="shared" si="47"/>
        <v>0</v>
      </c>
      <c r="AD73" s="176">
        <f t="shared" si="48"/>
        <v>0</v>
      </c>
      <c r="AE73" s="25"/>
      <c r="AG73" s="32" t="s">
        <v>73</v>
      </c>
      <c r="AH73" s="34" t="s">
        <v>773</v>
      </c>
      <c r="AI73" s="34" t="s">
        <v>795</v>
      </c>
      <c r="AJ73" s="31"/>
      <c r="AK73" s="31"/>
      <c r="AL73" s="31" t="str">
        <f t="shared" si="54"/>
        <v/>
      </c>
      <c r="AM73" s="31">
        <f>N(athletics&gt;3)</f>
        <v>1</v>
      </c>
      <c r="AN73" s="31">
        <f t="shared" si="78"/>
        <v>72</v>
      </c>
      <c r="AO73" s="47" t="s">
        <v>68</v>
      </c>
      <c r="AP73" s="134"/>
      <c r="AQ73" s="47"/>
      <c r="AR73" s="134"/>
      <c r="AS73" s="47"/>
      <c r="AT73" s="134"/>
      <c r="AU73" s="47"/>
      <c r="AV73" s="134"/>
      <c r="AW73" s="47"/>
      <c r="AX73" s="134"/>
      <c r="AY73" s="47"/>
      <c r="AZ73" s="134"/>
      <c r="BA73" s="47"/>
      <c r="BB73" s="134"/>
      <c r="BC73" s="47"/>
      <c r="BD73" s="134"/>
      <c r="BE73" s="47"/>
      <c r="BF73" s="134"/>
      <c r="BG73" s="47"/>
      <c r="BH73" s="134"/>
      <c r="BI73" s="47"/>
      <c r="BJ73" s="134"/>
      <c r="BK73" s="47"/>
      <c r="BL73" s="134"/>
      <c r="BM73" s="47"/>
      <c r="BN73" s="134"/>
      <c r="BO73" s="47"/>
      <c r="BP73" s="134"/>
      <c r="BQ73" s="47"/>
      <c r="BR73" s="134"/>
      <c r="BS73" s="47"/>
      <c r="BT73" s="134"/>
      <c r="BU73" s="47"/>
      <c r="BV73" s="134"/>
      <c r="BW73" s="47"/>
      <c r="BX73" s="134"/>
      <c r="BY73" s="47"/>
      <c r="BZ73" s="134"/>
      <c r="CA73" s="47"/>
      <c r="CB73" s="120"/>
      <c r="CC73" s="120"/>
      <c r="CD73" s="120"/>
      <c r="CE73" s="120"/>
      <c r="CF73" s="120"/>
      <c r="CG73" s="120"/>
      <c r="CH73" s="120"/>
      <c r="CI73" s="120"/>
      <c r="CJ73" s="120"/>
      <c r="CK73" s="179">
        <f t="shared" si="55"/>
        <v>72</v>
      </c>
      <c r="CL73" s="37" t="str">
        <f t="shared" ca="1" si="56"/>
        <v/>
      </c>
      <c r="CM73" s="36">
        <f t="shared" si="71"/>
        <v>72</v>
      </c>
      <c r="CN73" s="37" t="str">
        <f ca="1">IF($AN73&gt;CN$1,"",INDEX($AG$2:$AG$226,SMALL(CM$2:$CM$226,$AN73),1))</f>
        <v/>
      </c>
      <c r="CO73" s="36">
        <f t="shared" si="72"/>
        <v>72</v>
      </c>
      <c r="CP73" s="37" t="str">
        <f t="shared" ca="1" si="73"/>
        <v/>
      </c>
      <c r="CS73" s="28">
        <f t="shared" si="57"/>
        <v>72</v>
      </c>
      <c r="CT73" s="37" t="str">
        <f t="shared" ca="1" si="58"/>
        <v/>
      </c>
      <c r="CU73" s="28">
        <f t="shared" si="57"/>
        <v>72</v>
      </c>
      <c r="CV73" s="37" t="str">
        <f t="shared" ca="1" si="59"/>
        <v/>
      </c>
      <c r="CW73" s="28">
        <f t="shared" si="60"/>
        <v>72</v>
      </c>
      <c r="CX73" s="37" t="str">
        <f t="shared" ca="1" si="61"/>
        <v/>
      </c>
      <c r="CY73" s="28">
        <f t="shared" si="62"/>
        <v>72</v>
      </c>
      <c r="CZ73" s="37" t="str">
        <f t="shared" ca="1" si="61"/>
        <v/>
      </c>
      <c r="DA73" s="28">
        <f t="shared" si="63"/>
        <v>72</v>
      </c>
      <c r="DB73" s="37" t="str">
        <f t="shared" ca="1" si="64"/>
        <v/>
      </c>
      <c r="DC73" s="28">
        <f t="shared" si="65"/>
        <v>72</v>
      </c>
      <c r="DD73" s="37" t="str">
        <f t="shared" ca="1" si="66"/>
        <v/>
      </c>
      <c r="DN73" s="32">
        <v>72</v>
      </c>
      <c r="DO73" s="34" t="s">
        <v>651</v>
      </c>
      <c r="DP73" s="38">
        <f t="shared" si="51"/>
        <v>0</v>
      </c>
      <c r="DQ73" s="173" t="str">
        <f t="shared" si="74"/>
        <v>(Athl) 0</v>
      </c>
      <c r="DR73" s="36" t="str">
        <f t="shared" si="75"/>
        <v/>
      </c>
      <c r="DS73" s="37" t="str">
        <f t="shared" si="76"/>
        <v>(Will) Dedication</v>
      </c>
      <c r="DV73" s="176">
        <f t="shared" si="67"/>
        <v>0</v>
      </c>
      <c r="DW73" s="243">
        <f>IF(COUNTIF('Char Sheet p1'!$AP$7:$AP$35,DQ73)=0,0,ROUNDDOWN(SUMIF('Char Sheet p1'!$AP$7:$AP$35,DQ73,'Char Sheet p1'!$AQ$7:$AQ$35)/10,0))</f>
        <v>0</v>
      </c>
      <c r="DX73" s="240">
        <f t="shared" si="77"/>
        <v>0</v>
      </c>
      <c r="DY73" s="36">
        <f t="shared" si="53"/>
        <v>20</v>
      </c>
      <c r="DZ73" s="36" t="str">
        <f t="shared" si="68"/>
        <v/>
      </c>
      <c r="EE73" s="36">
        <f t="shared" si="52"/>
        <v>4</v>
      </c>
    </row>
    <row r="74" spans="1:135">
      <c r="A74" s="138">
        <f t="shared" si="69"/>
        <v>0</v>
      </c>
      <c r="B74" s="168">
        <f t="shared" si="70"/>
        <v>0</v>
      </c>
      <c r="C74" s="32" t="s">
        <v>382</v>
      </c>
      <c r="D74" s="34" t="s">
        <v>680</v>
      </c>
      <c r="E74" s="31"/>
      <c r="F74" s="31">
        <f t="shared" ca="1" si="79"/>
        <v>0</v>
      </c>
      <c r="G74" s="34" t="s">
        <v>672</v>
      </c>
      <c r="H74" s="168">
        <f t="shared" ca="1" si="43"/>
        <v>3</v>
      </c>
      <c r="I74" s="168" t="str">
        <f t="shared" ca="1" si="44"/>
        <v/>
      </c>
      <c r="J74" s="154">
        <f>IF(COUNTIF(qualities,AG$113)=0,0,SUMIF(figspec,D74,figspecval))</f>
        <v>0</v>
      </c>
      <c r="K74" s="102"/>
      <c r="L74" s="31"/>
      <c r="M74" s="31">
        <v>1</v>
      </c>
      <c r="N74" s="31"/>
      <c r="O74" s="31"/>
      <c r="P74" s="31">
        <v>1</v>
      </c>
      <c r="Q74" s="406">
        <f>COUNTIF(qualities,$AG$112)</f>
        <v>0</v>
      </c>
      <c r="R74" s="31"/>
      <c r="S74" s="31"/>
      <c r="T74" s="31"/>
      <c r="U74" s="31"/>
      <c r="V74" s="168" t="s">
        <v>436</v>
      </c>
      <c r="W74" s="36" t="s">
        <v>441</v>
      </c>
      <c r="X74" s="36">
        <v>-2</v>
      </c>
      <c r="Y74" s="36">
        <f t="shared" ca="1" si="45"/>
        <v>2</v>
      </c>
      <c r="Z74" s="36">
        <f>IF(COUNTIF(qualities,$AG$114)=0,0,SUMIF(figspec,D74,figspecval))</f>
        <v>0</v>
      </c>
      <c r="AA74" s="176" t="str">
        <f t="shared" si="50"/>
        <v xml:space="preserve">Def+1, Off-hand+1, </v>
      </c>
      <c r="AB74" s="176" t="str">
        <f t="shared" si="46"/>
        <v>Def+1, Off-hand+1</v>
      </c>
      <c r="AC74" s="176">
        <f t="shared" si="47"/>
        <v>0</v>
      </c>
      <c r="AD74" s="176">
        <f t="shared" si="48"/>
        <v>0</v>
      </c>
      <c r="AE74" s="25"/>
      <c r="AG74" s="32" t="s">
        <v>74</v>
      </c>
      <c r="AH74" s="34" t="s">
        <v>773</v>
      </c>
      <c r="AI74" s="34" t="s">
        <v>795</v>
      </c>
      <c r="AJ74" s="31"/>
      <c r="AK74" s="31"/>
      <c r="AL74" s="31" t="str">
        <f t="shared" si="54"/>
        <v/>
      </c>
      <c r="AM74" s="31">
        <f>N(athletics&gt;3)</f>
        <v>1</v>
      </c>
      <c r="AN74" s="31">
        <f t="shared" si="78"/>
        <v>73</v>
      </c>
      <c r="AO74" s="47" t="s">
        <v>69</v>
      </c>
      <c r="AP74" s="134"/>
      <c r="AQ74" s="47"/>
      <c r="AR74" s="134"/>
      <c r="AS74" s="47"/>
      <c r="AT74" s="134"/>
      <c r="AU74" s="47"/>
      <c r="AV74" s="134"/>
      <c r="AW74" s="47"/>
      <c r="AX74" s="134"/>
      <c r="AY74" s="47"/>
      <c r="AZ74" s="134"/>
      <c r="BA74" s="47"/>
      <c r="BB74" s="134"/>
      <c r="BC74" s="47"/>
      <c r="BD74" s="134"/>
      <c r="BE74" s="47"/>
      <c r="BF74" s="134"/>
      <c r="BG74" s="47"/>
      <c r="BH74" s="134"/>
      <c r="BI74" s="47"/>
      <c r="BJ74" s="134"/>
      <c r="BK74" s="47"/>
      <c r="BL74" s="134"/>
      <c r="BM74" s="47"/>
      <c r="BN74" s="134"/>
      <c r="BO74" s="47"/>
      <c r="BP74" s="134"/>
      <c r="BQ74" s="47"/>
      <c r="BR74" s="134"/>
      <c r="BS74" s="47"/>
      <c r="BT74" s="134"/>
      <c r="BU74" s="47"/>
      <c r="BV74" s="134"/>
      <c r="BW74" s="47"/>
      <c r="BX74" s="134"/>
      <c r="BY74" s="47"/>
      <c r="BZ74" s="134"/>
      <c r="CA74" s="47"/>
      <c r="CB74" s="120"/>
      <c r="CC74" s="120"/>
      <c r="CD74" s="120"/>
      <c r="CE74" s="120"/>
      <c r="CF74" s="120"/>
      <c r="CG74" s="120"/>
      <c r="CH74" s="120"/>
      <c r="CI74" s="120"/>
      <c r="CJ74" s="120"/>
      <c r="CK74" s="179">
        <f t="shared" si="55"/>
        <v>73</v>
      </c>
      <c r="CL74" s="37" t="str">
        <f t="shared" ca="1" si="56"/>
        <v/>
      </c>
      <c r="CM74" s="36">
        <f t="shared" si="71"/>
        <v>73</v>
      </c>
      <c r="CN74" s="37" t="str">
        <f ca="1">IF($AN74&gt;CN$1,"",INDEX($AG$2:$AG$226,SMALL(CM$2:$CM$226,$AN74),1))</f>
        <v/>
      </c>
      <c r="CO74" s="36">
        <f t="shared" si="72"/>
        <v>73</v>
      </c>
      <c r="CP74" s="37" t="str">
        <f t="shared" ca="1" si="73"/>
        <v/>
      </c>
      <c r="CS74" s="28">
        <f t="shared" si="57"/>
        <v>73</v>
      </c>
      <c r="CT74" s="37" t="str">
        <f t="shared" ca="1" si="58"/>
        <v/>
      </c>
      <c r="CU74" s="28">
        <f t="shared" si="57"/>
        <v>73</v>
      </c>
      <c r="CV74" s="37" t="str">
        <f t="shared" ca="1" si="59"/>
        <v/>
      </c>
      <c r="CW74" s="28">
        <f t="shared" si="60"/>
        <v>73</v>
      </c>
      <c r="CX74" s="37" t="str">
        <f t="shared" ca="1" si="61"/>
        <v/>
      </c>
      <c r="CY74" s="28">
        <f t="shared" si="62"/>
        <v>73</v>
      </c>
      <c r="CZ74" s="37" t="str">
        <f t="shared" ca="1" si="61"/>
        <v/>
      </c>
      <c r="DA74" s="28">
        <f t="shared" si="63"/>
        <v>73</v>
      </c>
      <c r="DB74" s="37" t="str">
        <f t="shared" ca="1" si="64"/>
        <v/>
      </c>
      <c r="DC74" s="28">
        <f t="shared" si="65"/>
        <v>73</v>
      </c>
      <c r="DD74" s="37" t="str">
        <f t="shared" ca="1" si="66"/>
        <v/>
      </c>
      <c r="DN74" s="32">
        <v>73</v>
      </c>
      <c r="DO74" s="34" t="s">
        <v>651</v>
      </c>
      <c r="DP74" s="38">
        <f t="shared" si="51"/>
        <v>0</v>
      </c>
      <c r="DQ74" s="173" t="str">
        <f t="shared" si="74"/>
        <v>(Athl) 0</v>
      </c>
      <c r="DR74" s="36" t="str">
        <f t="shared" si="75"/>
        <v/>
      </c>
      <c r="DS74" s="37" t="str">
        <f t="shared" si="76"/>
        <v/>
      </c>
      <c r="DV74" s="176">
        <f t="shared" si="67"/>
        <v>0</v>
      </c>
      <c r="DW74" s="243">
        <f>IF(COUNTIF('Char Sheet p1'!$AP$7:$AP$35,DQ74)=0,0,ROUNDDOWN(SUMIF('Char Sheet p1'!$AP$7:$AP$35,DQ74,'Char Sheet p1'!$AQ$7:$AQ$35)/10,0))</f>
        <v>0</v>
      </c>
      <c r="DX74" s="240">
        <f t="shared" si="77"/>
        <v>0</v>
      </c>
      <c r="DY74" s="36">
        <f t="shared" si="53"/>
        <v>21</v>
      </c>
      <c r="DZ74" s="36" t="str">
        <f t="shared" si="68"/>
        <v/>
      </c>
      <c r="EE74" s="36">
        <f t="shared" si="52"/>
        <v>4</v>
      </c>
    </row>
    <row r="75" spans="1:135">
      <c r="A75" s="138">
        <f t="shared" si="69"/>
        <v>0</v>
      </c>
      <c r="B75" s="168">
        <f t="shared" si="70"/>
        <v>0</v>
      </c>
      <c r="C75" s="32" t="s">
        <v>383</v>
      </c>
      <c r="D75" s="34" t="s">
        <v>680</v>
      </c>
      <c r="E75" s="31"/>
      <c r="F75" s="31">
        <f t="shared" ca="1" si="79"/>
        <v>0</v>
      </c>
      <c r="G75" s="34" t="s">
        <v>672</v>
      </c>
      <c r="H75" s="168">
        <f t="shared" ca="1" si="43"/>
        <v>3</v>
      </c>
      <c r="I75" s="168" t="str">
        <f t="shared" ca="1" si="44"/>
        <v/>
      </c>
      <c r="J75" s="154">
        <f>IF(COUNTIF(qualities,AG$113)=0,0,SUMIF(figspec,D75,figspecval))</f>
        <v>0</v>
      </c>
      <c r="K75" s="102"/>
      <c r="L75" s="31"/>
      <c r="M75" s="31"/>
      <c r="N75" s="31"/>
      <c r="O75" s="31"/>
      <c r="P75" s="31">
        <v>2</v>
      </c>
      <c r="Q75" s="406">
        <f>COUNTIF(qualities,$AG$112)</f>
        <v>0</v>
      </c>
      <c r="R75" s="31"/>
      <c r="S75" s="31"/>
      <c r="T75" s="31"/>
      <c r="U75" s="31"/>
      <c r="V75" s="168" t="s">
        <v>436</v>
      </c>
      <c r="W75" s="36" t="s">
        <v>441</v>
      </c>
      <c r="X75" s="36">
        <v>-2</v>
      </c>
      <c r="Y75" s="36">
        <f t="shared" ca="1" si="45"/>
        <v>2</v>
      </c>
      <c r="Z75" s="36">
        <f>IF(COUNTIF(qualities,$AG$114)=0,0,SUMIF(figspec,D75,figspecval))</f>
        <v>0</v>
      </c>
      <c r="AA75" s="176" t="str">
        <f t="shared" si="50"/>
        <v xml:space="preserve">Off-hand+2, </v>
      </c>
      <c r="AB75" s="176" t="str">
        <f t="shared" si="46"/>
        <v>Off-hand+2</v>
      </c>
      <c r="AC75" s="176">
        <f t="shared" si="47"/>
        <v>0</v>
      </c>
      <c r="AD75" s="176">
        <f t="shared" si="48"/>
        <v>0</v>
      </c>
      <c r="AE75" s="25"/>
      <c r="AG75" s="32" t="s">
        <v>75</v>
      </c>
      <c r="AH75" s="34" t="s">
        <v>773</v>
      </c>
      <c r="AI75" s="34" t="s">
        <v>795</v>
      </c>
      <c r="AJ75" s="31"/>
      <c r="AK75" s="31"/>
      <c r="AL75" s="31" t="str">
        <f t="shared" si="54"/>
        <v/>
      </c>
      <c r="AM75" s="31">
        <f>N(athletics&gt;3)</f>
        <v>1</v>
      </c>
      <c r="AN75" s="31">
        <f t="shared" si="78"/>
        <v>74</v>
      </c>
      <c r="AO75" s="47" t="s">
        <v>70</v>
      </c>
      <c r="AP75" s="134"/>
      <c r="AQ75" s="47"/>
      <c r="AR75" s="134"/>
      <c r="AS75" s="47"/>
      <c r="AT75" s="134"/>
      <c r="AU75" s="47"/>
      <c r="AV75" s="134"/>
      <c r="AW75" s="47"/>
      <c r="AX75" s="134"/>
      <c r="AY75" s="47"/>
      <c r="AZ75" s="134"/>
      <c r="BA75" s="47"/>
      <c r="BB75" s="134"/>
      <c r="BC75" s="47"/>
      <c r="BD75" s="134"/>
      <c r="BE75" s="47"/>
      <c r="BF75" s="134"/>
      <c r="BG75" s="47"/>
      <c r="BH75" s="134"/>
      <c r="BI75" s="47"/>
      <c r="BJ75" s="134"/>
      <c r="BK75" s="47"/>
      <c r="BL75" s="134"/>
      <c r="BM75" s="47"/>
      <c r="BN75" s="134"/>
      <c r="BO75" s="47"/>
      <c r="BP75" s="134"/>
      <c r="BQ75" s="47"/>
      <c r="BR75" s="134"/>
      <c r="BS75" s="47"/>
      <c r="BT75" s="134"/>
      <c r="BU75" s="47"/>
      <c r="BV75" s="134"/>
      <c r="BW75" s="47"/>
      <c r="BX75" s="134"/>
      <c r="BY75" s="47"/>
      <c r="BZ75" s="134"/>
      <c r="CA75" s="47"/>
      <c r="CB75" s="120"/>
      <c r="CC75" s="120"/>
      <c r="CD75" s="120"/>
      <c r="CE75" s="120"/>
      <c r="CF75" s="120"/>
      <c r="CG75" s="120"/>
      <c r="CH75" s="120"/>
      <c r="CI75" s="120"/>
      <c r="CJ75" s="120"/>
      <c r="CK75" s="179">
        <f t="shared" si="55"/>
        <v>74</v>
      </c>
      <c r="CL75" s="37" t="str">
        <f t="shared" ca="1" si="56"/>
        <v/>
      </c>
      <c r="CM75" s="36">
        <f t="shared" si="71"/>
        <v>74</v>
      </c>
      <c r="CN75" s="37" t="str">
        <f ca="1">IF($AN75&gt;CN$1,"",INDEX($AG$2:$AG$226,SMALL(CM$2:$CM$226,$AN75),1))</f>
        <v/>
      </c>
      <c r="CO75" s="36">
        <f t="shared" si="72"/>
        <v>74</v>
      </c>
      <c r="CP75" s="37" t="str">
        <f t="shared" ca="1" si="73"/>
        <v/>
      </c>
      <c r="CS75" s="28">
        <f t="shared" si="57"/>
        <v>74</v>
      </c>
      <c r="CT75" s="37" t="str">
        <f t="shared" ca="1" si="58"/>
        <v/>
      </c>
      <c r="CU75" s="28">
        <f t="shared" si="57"/>
        <v>74</v>
      </c>
      <c r="CV75" s="37" t="str">
        <f t="shared" ca="1" si="59"/>
        <v/>
      </c>
      <c r="CW75" s="28">
        <f t="shared" si="60"/>
        <v>74</v>
      </c>
      <c r="CX75" s="37" t="str">
        <f t="shared" ca="1" si="61"/>
        <v/>
      </c>
      <c r="CY75" s="28">
        <f t="shared" si="62"/>
        <v>74</v>
      </c>
      <c r="CZ75" s="37" t="str">
        <f t="shared" ca="1" si="61"/>
        <v/>
      </c>
      <c r="DA75" s="28">
        <f t="shared" si="63"/>
        <v>74</v>
      </c>
      <c r="DB75" s="37" t="str">
        <f t="shared" ca="1" si="64"/>
        <v/>
      </c>
      <c r="DC75" s="28">
        <f t="shared" si="65"/>
        <v>74</v>
      </c>
      <c r="DD75" s="37" t="str">
        <f t="shared" ca="1" si="66"/>
        <v/>
      </c>
      <c r="DN75" s="32">
        <v>74</v>
      </c>
      <c r="DO75" s="34" t="s">
        <v>651</v>
      </c>
      <c r="DP75" s="38">
        <f t="shared" si="51"/>
        <v>0</v>
      </c>
      <c r="DQ75" s="173" t="str">
        <f t="shared" si="74"/>
        <v>(Athl) 0</v>
      </c>
      <c r="DR75" s="36" t="str">
        <f t="shared" si="75"/>
        <v/>
      </c>
      <c r="DS75" s="37" t="str">
        <f t="shared" si="76"/>
        <v/>
      </c>
      <c r="DV75" s="176">
        <f t="shared" si="67"/>
        <v>0</v>
      </c>
      <c r="DW75" s="243">
        <f>IF(COUNTIF('Char Sheet p1'!$AP$7:$AP$35,DQ75)=0,0,ROUNDDOWN(SUMIF('Char Sheet p1'!$AP$7:$AP$35,DQ75,'Char Sheet p1'!$AQ$7:$AQ$35)/10,0))</f>
        <v>0</v>
      </c>
      <c r="DX75" s="240">
        <f t="shared" si="77"/>
        <v>0</v>
      </c>
      <c r="DY75" s="36">
        <f t="shared" si="53"/>
        <v>22</v>
      </c>
      <c r="DZ75" s="36" t="str">
        <f t="shared" si="68"/>
        <v/>
      </c>
      <c r="EE75" s="36">
        <f t="shared" si="52"/>
        <v>4</v>
      </c>
    </row>
    <row r="76" spans="1:135">
      <c r="A76" s="138">
        <f t="shared" si="69"/>
        <v>0</v>
      </c>
      <c r="B76" s="168">
        <f t="shared" si="70"/>
        <v>0</v>
      </c>
      <c r="C76" s="32" t="s">
        <v>384</v>
      </c>
      <c r="D76" s="34" t="s">
        <v>680</v>
      </c>
      <c r="E76" s="31">
        <v>1</v>
      </c>
      <c r="F76" s="31">
        <f t="shared" ca="1" si="79"/>
        <v>-1</v>
      </c>
      <c r="G76" s="34" t="s">
        <v>672</v>
      </c>
      <c r="H76" s="168">
        <f t="shared" ca="1" si="43"/>
        <v>2</v>
      </c>
      <c r="I76" s="168" t="str">
        <f t="shared" ca="1" si="44"/>
        <v/>
      </c>
      <c r="J76" s="154">
        <f>IF(COUNTIF(qualities,AG$113)=0,0,SUMIF(figspec,D76,figspecval))</f>
        <v>0</v>
      </c>
      <c r="K76" s="102"/>
      <c r="L76" s="31"/>
      <c r="M76" s="31"/>
      <c r="N76" s="31"/>
      <c r="O76" s="31"/>
      <c r="P76" s="31"/>
      <c r="Q76" s="406">
        <f>2+COUNTIF(qualities,$AG$112)</f>
        <v>2</v>
      </c>
      <c r="R76" s="31"/>
      <c r="S76" s="31"/>
      <c r="T76" s="31"/>
      <c r="U76" s="31"/>
      <c r="V76" s="168" t="s">
        <v>436</v>
      </c>
      <c r="W76" s="36" t="s">
        <v>441</v>
      </c>
      <c r="X76" s="36"/>
      <c r="Y76" s="36">
        <f t="shared" ca="1" si="45"/>
        <v>4</v>
      </c>
      <c r="Z76" s="36">
        <f>IF(COUNTIF(qualities,$AG$114)=0,0,SUMIF(figspec,D76,figspecval))</f>
        <v>0</v>
      </c>
      <c r="AA76" s="176" t="str">
        <f t="shared" si="50"/>
        <v xml:space="preserve">Pierce 2, </v>
      </c>
      <c r="AB76" s="176" t="str">
        <f t="shared" si="46"/>
        <v>Pierce 2</v>
      </c>
      <c r="AC76" s="176">
        <f t="shared" si="47"/>
        <v>0</v>
      </c>
      <c r="AD76" s="176">
        <f t="shared" si="48"/>
        <v>0</v>
      </c>
      <c r="AE76" s="25"/>
      <c r="AG76" s="32" t="s">
        <v>760</v>
      </c>
      <c r="AH76" s="34" t="s">
        <v>773</v>
      </c>
      <c r="AI76" s="34" t="s">
        <v>796</v>
      </c>
      <c r="AJ76" s="31"/>
      <c r="AK76" s="31"/>
      <c r="AL76" s="31" t="str">
        <f t="shared" si="54"/>
        <v/>
      </c>
      <c r="AM76" s="31">
        <f>N(AND(knowledge&gt;3, persuasion&gt;2))</f>
        <v>0</v>
      </c>
      <c r="AN76" s="31">
        <f t="shared" si="78"/>
        <v>75</v>
      </c>
      <c r="AO76" s="35" t="s">
        <v>76</v>
      </c>
      <c r="AP76" s="134"/>
      <c r="AQ76" s="47"/>
      <c r="AR76" s="134"/>
      <c r="AS76" s="47"/>
      <c r="AT76" s="134"/>
      <c r="AU76" s="47"/>
      <c r="AV76" s="134"/>
      <c r="AW76" s="47"/>
      <c r="AX76" s="134"/>
      <c r="AY76" s="47"/>
      <c r="AZ76" s="134"/>
      <c r="BA76" s="47"/>
      <c r="BB76" s="134"/>
      <c r="BC76" s="47"/>
      <c r="BD76" s="134"/>
      <c r="BE76" s="47"/>
      <c r="BF76" s="134"/>
      <c r="BG76" s="47"/>
      <c r="BH76" s="134"/>
      <c r="BI76" s="47"/>
      <c r="BJ76" s="134"/>
      <c r="BK76" s="47"/>
      <c r="BL76" s="134"/>
      <c r="BM76" s="47"/>
      <c r="BN76" s="134"/>
      <c r="BO76" s="47"/>
      <c r="BP76" s="134"/>
      <c r="BQ76" s="47"/>
      <c r="BR76" s="134"/>
      <c r="BS76" s="47"/>
      <c r="BT76" s="134"/>
      <c r="BU76" s="47"/>
      <c r="BV76" s="134"/>
      <c r="BW76" s="47"/>
      <c r="BX76" s="134"/>
      <c r="BY76" s="47"/>
      <c r="BZ76" s="134"/>
      <c r="CA76" s="47"/>
      <c r="CB76" s="120"/>
      <c r="CC76" s="120"/>
      <c r="CD76" s="120"/>
      <c r="CE76" s="120"/>
      <c r="CF76" s="120"/>
      <c r="CG76" s="120"/>
      <c r="CH76" s="120"/>
      <c r="CI76" s="120"/>
      <c r="CJ76" s="120"/>
      <c r="CK76" s="179" t="str">
        <f t="shared" si="55"/>
        <v/>
      </c>
      <c r="CL76" s="37" t="str">
        <f t="shared" ca="1" si="56"/>
        <v/>
      </c>
      <c r="CM76" s="36" t="str">
        <f t="shared" si="71"/>
        <v/>
      </c>
      <c r="CN76" s="37" t="str">
        <f ca="1">IF($AN76&gt;CN$1,"",INDEX($AG$2:$AG$226,SMALL(CM$2:$CM$226,$AN76),1))</f>
        <v/>
      </c>
      <c r="CO76" s="36" t="str">
        <f t="shared" si="72"/>
        <v/>
      </c>
      <c r="CP76" s="37" t="str">
        <f t="shared" ca="1" si="73"/>
        <v/>
      </c>
      <c r="CS76" s="28" t="str">
        <f t="shared" si="57"/>
        <v/>
      </c>
      <c r="CT76" s="37" t="str">
        <f t="shared" ca="1" si="58"/>
        <v/>
      </c>
      <c r="CU76" s="28" t="str">
        <f t="shared" si="57"/>
        <v/>
      </c>
      <c r="CV76" s="37" t="str">
        <f t="shared" ca="1" si="59"/>
        <v/>
      </c>
      <c r="CW76" s="28" t="str">
        <f t="shared" si="60"/>
        <v/>
      </c>
      <c r="CX76" s="37" t="str">
        <f t="shared" ca="1" si="61"/>
        <v/>
      </c>
      <c r="CY76" s="28" t="str">
        <f t="shared" si="62"/>
        <v/>
      </c>
      <c r="CZ76" s="37" t="str">
        <f t="shared" ca="1" si="61"/>
        <v/>
      </c>
      <c r="DA76" s="28" t="str">
        <f t="shared" si="63"/>
        <v/>
      </c>
      <c r="DB76" s="37" t="str">
        <f t="shared" ca="1" si="64"/>
        <v/>
      </c>
      <c r="DC76" s="28" t="str">
        <f t="shared" si="65"/>
        <v/>
      </c>
      <c r="DD76" s="37" t="str">
        <f t="shared" ca="1" si="66"/>
        <v/>
      </c>
      <c r="DN76" s="32">
        <v>75</v>
      </c>
      <c r="DO76" s="34" t="s">
        <v>651</v>
      </c>
      <c r="DP76" s="38">
        <f t="shared" si="51"/>
        <v>0</v>
      </c>
      <c r="DQ76" s="173" t="str">
        <f t="shared" si="74"/>
        <v>(Athl) 0</v>
      </c>
      <c r="DR76" s="36" t="str">
        <f t="shared" si="75"/>
        <v/>
      </c>
      <c r="DS76" s="37" t="str">
        <f t="shared" si="76"/>
        <v/>
      </c>
      <c r="DV76" s="176">
        <f t="shared" si="67"/>
        <v>0</v>
      </c>
      <c r="DW76" s="243">
        <f>IF(COUNTIF('Char Sheet p1'!$AP$7:$AP$35,DQ76)=0,0,ROUNDDOWN(SUMIF('Char Sheet p1'!$AP$7:$AP$35,DQ76,'Char Sheet p1'!$AQ$7:$AQ$35)/10,0))</f>
        <v>0</v>
      </c>
      <c r="DX76" s="240">
        <f t="shared" si="77"/>
        <v>0</v>
      </c>
      <c r="DY76" s="36">
        <f t="shared" si="53"/>
        <v>23</v>
      </c>
      <c r="DZ76" s="36" t="str">
        <f t="shared" si="68"/>
        <v/>
      </c>
      <c r="EE76" s="36">
        <f t="shared" si="52"/>
        <v>4</v>
      </c>
    </row>
    <row r="77" spans="1:135">
      <c r="A77" s="138">
        <f t="shared" si="69"/>
        <v>0</v>
      </c>
      <c r="B77" s="168">
        <f t="shared" si="70"/>
        <v>0</v>
      </c>
      <c r="C77" s="32" t="s">
        <v>385</v>
      </c>
      <c r="D77" s="34" t="s">
        <v>681</v>
      </c>
      <c r="E77" s="31">
        <v>1</v>
      </c>
      <c r="F77" s="31">
        <f t="shared" ca="1" si="79"/>
        <v>0</v>
      </c>
      <c r="G77" s="34" t="s">
        <v>672</v>
      </c>
      <c r="H77" s="168">
        <f t="shared" ca="1" si="43"/>
        <v>3</v>
      </c>
      <c r="I77" s="168" t="str">
        <f t="shared" ca="1" si="44"/>
        <v/>
      </c>
      <c r="J77" s="154"/>
      <c r="K77" s="102"/>
      <c r="L77" s="31"/>
      <c r="M77" s="31"/>
      <c r="N77" s="31" t="s">
        <v>426</v>
      </c>
      <c r="O77" s="31" t="str">
        <f>IF(COUNTIF(qualities,"Massive")=0,"2h","Adaptable")</f>
        <v>2h</v>
      </c>
      <c r="P77" s="31"/>
      <c r="Q77" s="407">
        <f t="shared" ref="Q77:Q83" si="80">COUNTIF(qualities,$AG$119)*2</f>
        <v>0</v>
      </c>
      <c r="R77" s="31">
        <f ca="1">powerful</f>
        <v>0</v>
      </c>
      <c r="S77" s="31"/>
      <c r="T77" s="31"/>
      <c r="U77" s="31"/>
      <c r="V77" s="168" t="s">
        <v>419</v>
      </c>
      <c r="W77" s="36" t="s">
        <v>440</v>
      </c>
      <c r="X77" s="36">
        <v>1</v>
      </c>
      <c r="Y77" s="36">
        <f t="shared" ca="1" si="45"/>
        <v>5</v>
      </c>
      <c r="Z77" s="36"/>
      <c r="AA77" s="176" t="str">
        <f t="shared" si="50"/>
        <v xml:space="preserve">Slow, 2h, Impale, </v>
      </c>
      <c r="AB77" s="176" t="str">
        <f t="shared" si="46"/>
        <v>Slow, 2h, Impale</v>
      </c>
      <c r="AC77" s="176">
        <f t="shared" si="47"/>
        <v>0</v>
      </c>
      <c r="AD77" s="176">
        <f t="shared" si="48"/>
        <v>0</v>
      </c>
      <c r="AE77" s="25"/>
      <c r="AG77" s="32" t="s">
        <v>761</v>
      </c>
      <c r="AH77" s="34" t="s">
        <v>773</v>
      </c>
      <c r="AI77" s="34" t="s">
        <v>797</v>
      </c>
      <c r="AJ77" s="31"/>
      <c r="AK77" s="31"/>
      <c r="AL77" s="31" t="str">
        <f t="shared" si="54"/>
        <v/>
      </c>
      <c r="AM77" s="31">
        <f>N(survival&gt;3)</f>
        <v>0</v>
      </c>
      <c r="AN77" s="31">
        <f t="shared" si="78"/>
        <v>76</v>
      </c>
      <c r="AO77" s="35" t="s">
        <v>77</v>
      </c>
      <c r="AP77" s="134"/>
      <c r="AQ77" s="47"/>
      <c r="AR77" s="134"/>
      <c r="AS77" s="47"/>
      <c r="AT77" s="134"/>
      <c r="AU77" s="47"/>
      <c r="AV77" s="134"/>
      <c r="AW77" s="47"/>
      <c r="AX77" s="134"/>
      <c r="AY77" s="47"/>
      <c r="AZ77" s="134"/>
      <c r="BA77" s="47"/>
      <c r="BB77" s="134"/>
      <c r="BC77" s="47"/>
      <c r="BD77" s="134"/>
      <c r="BE77" s="47"/>
      <c r="BF77" s="134"/>
      <c r="BG77" s="47"/>
      <c r="BH77" s="134"/>
      <c r="BI77" s="47"/>
      <c r="BJ77" s="134"/>
      <c r="BK77" s="47"/>
      <c r="BL77" s="134"/>
      <c r="BM77" s="47"/>
      <c r="BN77" s="134"/>
      <c r="BO77" s="47"/>
      <c r="BP77" s="134"/>
      <c r="BQ77" s="47"/>
      <c r="BR77" s="134"/>
      <c r="BS77" s="47"/>
      <c r="BT77" s="134"/>
      <c r="BU77" s="47"/>
      <c r="BV77" s="134"/>
      <c r="BW77" s="47"/>
      <c r="BX77" s="134"/>
      <c r="BY77" s="47"/>
      <c r="BZ77" s="134"/>
      <c r="CA77" s="47"/>
      <c r="CB77" s="120"/>
      <c r="CC77" s="120"/>
      <c r="CD77" s="120"/>
      <c r="CE77" s="120"/>
      <c r="CF77" s="120"/>
      <c r="CG77" s="120"/>
      <c r="CH77" s="120"/>
      <c r="CI77" s="120"/>
      <c r="CJ77" s="120"/>
      <c r="CK77" s="179" t="str">
        <f t="shared" si="55"/>
        <v/>
      </c>
      <c r="CL77" s="37" t="str">
        <f t="shared" ca="1" si="56"/>
        <v/>
      </c>
      <c r="CM77" s="36" t="str">
        <f t="shared" si="71"/>
        <v/>
      </c>
      <c r="CN77" s="37" t="str">
        <f ca="1">IF($AN77&gt;CN$1,"",INDEX($AG$2:$AG$226,SMALL(CM$2:$CM$226,$AN77),1))</f>
        <v/>
      </c>
      <c r="CO77" s="36" t="str">
        <f t="shared" si="72"/>
        <v/>
      </c>
      <c r="CP77" s="37" t="str">
        <f t="shared" ca="1" si="73"/>
        <v/>
      </c>
      <c r="CS77" s="28" t="str">
        <f t="shared" si="57"/>
        <v/>
      </c>
      <c r="CT77" s="37" t="str">
        <f t="shared" ca="1" si="58"/>
        <v/>
      </c>
      <c r="CU77" s="28" t="str">
        <f t="shared" si="57"/>
        <v/>
      </c>
      <c r="CV77" s="37" t="str">
        <f t="shared" ca="1" si="59"/>
        <v/>
      </c>
      <c r="CW77" s="28" t="str">
        <f t="shared" si="60"/>
        <v/>
      </c>
      <c r="CX77" s="37" t="str">
        <f t="shared" ca="1" si="61"/>
        <v/>
      </c>
      <c r="CY77" s="28" t="str">
        <f t="shared" si="62"/>
        <v/>
      </c>
      <c r="CZ77" s="37" t="str">
        <f t="shared" ca="1" si="61"/>
        <v/>
      </c>
      <c r="DA77" s="28" t="str">
        <f t="shared" si="63"/>
        <v/>
      </c>
      <c r="DB77" s="37" t="str">
        <f t="shared" ca="1" si="64"/>
        <v/>
      </c>
      <c r="DC77" s="28" t="str">
        <f t="shared" si="65"/>
        <v/>
      </c>
      <c r="DD77" s="37" t="str">
        <f t="shared" ca="1" si="66"/>
        <v/>
      </c>
      <c r="DN77" s="32">
        <v>76</v>
      </c>
      <c r="DO77" s="34" t="s">
        <v>651</v>
      </c>
      <c r="DP77" s="38">
        <f t="shared" si="51"/>
        <v>0</v>
      </c>
      <c r="DQ77" s="173" t="str">
        <f t="shared" si="74"/>
        <v>(Athl) 0</v>
      </c>
      <c r="DR77" s="36" t="str">
        <f t="shared" si="75"/>
        <v/>
      </c>
      <c r="DS77" s="37" t="str">
        <f t="shared" si="76"/>
        <v/>
      </c>
      <c r="DV77" s="176">
        <f t="shared" si="67"/>
        <v>0</v>
      </c>
      <c r="DW77" s="243">
        <f>IF(COUNTIF('Char Sheet p1'!$AP$7:$AP$35,DQ77)=0,0,ROUNDDOWN(SUMIF('Char Sheet p1'!$AP$7:$AP$35,DQ77,'Char Sheet p1'!$AQ$7:$AQ$35)/10,0))</f>
        <v>0</v>
      </c>
      <c r="DX77" s="240">
        <f t="shared" si="77"/>
        <v>0</v>
      </c>
      <c r="DY77" s="36">
        <f t="shared" si="53"/>
        <v>24</v>
      </c>
      <c r="DZ77" s="36" t="str">
        <f t="shared" si="68"/>
        <v/>
      </c>
      <c r="EE77" s="36">
        <f t="shared" si="52"/>
        <v>4</v>
      </c>
    </row>
    <row r="78" spans="1:135">
      <c r="A78" s="138">
        <f t="shared" si="69"/>
        <v>0</v>
      </c>
      <c r="B78" s="168">
        <f t="shared" si="70"/>
        <v>0</v>
      </c>
      <c r="C78" s="32" t="s">
        <v>386</v>
      </c>
      <c r="D78" s="34" t="s">
        <v>681</v>
      </c>
      <c r="E78" s="31">
        <v>1</v>
      </c>
      <c r="F78" s="31">
        <f t="shared" ca="1" si="79"/>
        <v>0</v>
      </c>
      <c r="G78" s="34" t="s">
        <v>672</v>
      </c>
      <c r="H78" s="168">
        <f t="shared" ca="1" si="43"/>
        <v>3</v>
      </c>
      <c r="I78" s="168" t="str">
        <f t="shared" ca="1" si="44"/>
        <v/>
      </c>
      <c r="J78" s="154"/>
      <c r="K78" s="102"/>
      <c r="L78" s="31"/>
      <c r="M78" s="31"/>
      <c r="N78" s="31"/>
      <c r="O78" s="31"/>
      <c r="P78" s="31"/>
      <c r="Q78" s="407">
        <f t="shared" si="80"/>
        <v>0</v>
      </c>
      <c r="R78" s="31"/>
      <c r="S78" s="31"/>
      <c r="T78" s="31"/>
      <c r="U78" s="31"/>
      <c r="V78" s="168" t="s">
        <v>436</v>
      </c>
      <c r="W78" s="36" t="s">
        <v>441</v>
      </c>
      <c r="X78" s="36">
        <v>1</v>
      </c>
      <c r="Y78" s="36">
        <f t="shared" ca="1" si="45"/>
        <v>5</v>
      </c>
      <c r="Z78" s="36"/>
      <c r="AA78" s="176" t="str">
        <f t="shared" si="50"/>
        <v/>
      </c>
      <c r="AB78" s="176" t="str">
        <f t="shared" si="46"/>
        <v/>
      </c>
      <c r="AC78" s="176">
        <f t="shared" si="47"/>
        <v>0</v>
      </c>
      <c r="AD78" s="176">
        <f t="shared" si="48"/>
        <v>0</v>
      </c>
      <c r="AE78" s="25"/>
      <c r="AG78" s="32" t="s">
        <v>778</v>
      </c>
      <c r="AH78" s="34" t="s">
        <v>789</v>
      </c>
      <c r="AI78" s="34" t="s">
        <v>817</v>
      </c>
      <c r="AJ78" s="31"/>
      <c r="AK78" s="31"/>
      <c r="AL78" s="31" t="str">
        <f t="shared" si="54"/>
        <v/>
      </c>
      <c r="AM78" s="31">
        <f>N(AND(cunning&gt;4,will&gt;3,COUNTIF(qualities,"Third Eye")&gt;0))</f>
        <v>0</v>
      </c>
      <c r="AN78" s="31">
        <f t="shared" si="78"/>
        <v>77</v>
      </c>
      <c r="AO78" s="35" t="s">
        <v>78</v>
      </c>
      <c r="AP78" s="134"/>
      <c r="AQ78" s="47"/>
      <c r="AR78" s="134"/>
      <c r="AS78" s="47"/>
      <c r="AT78" s="134"/>
      <c r="AU78" s="47"/>
      <c r="AV78" s="134"/>
      <c r="AW78" s="47"/>
      <c r="AX78" s="134"/>
      <c r="AY78" s="47"/>
      <c r="AZ78" s="134"/>
      <c r="BA78" s="47"/>
      <c r="BB78" s="134"/>
      <c r="BC78" s="47"/>
      <c r="BD78" s="134"/>
      <c r="BE78" s="47"/>
      <c r="BF78" s="134"/>
      <c r="BG78" s="47"/>
      <c r="BH78" s="134"/>
      <c r="BI78" s="47"/>
      <c r="BJ78" s="134"/>
      <c r="BK78" s="47"/>
      <c r="BL78" s="134"/>
      <c r="BM78" s="47"/>
      <c r="BN78" s="134"/>
      <c r="BO78" s="47"/>
      <c r="BP78" s="134"/>
      <c r="BQ78" s="47"/>
      <c r="BR78" s="134"/>
      <c r="BS78" s="47"/>
      <c r="BT78" s="134"/>
      <c r="BU78" s="47"/>
      <c r="BV78" s="134"/>
      <c r="BW78" s="47"/>
      <c r="BX78" s="134"/>
      <c r="BY78" s="47"/>
      <c r="BZ78" s="134"/>
      <c r="CA78" s="47"/>
      <c r="CB78" s="120"/>
      <c r="CC78" s="120"/>
      <c r="CD78" s="120"/>
      <c r="CE78" s="120"/>
      <c r="CF78" s="120"/>
      <c r="CG78" s="120"/>
      <c r="CH78" s="120"/>
      <c r="CI78" s="120"/>
      <c r="CJ78" s="120"/>
      <c r="CK78" s="179" t="str">
        <f t="shared" si="55"/>
        <v/>
      </c>
      <c r="CL78" s="37" t="str">
        <f t="shared" ca="1" si="56"/>
        <v/>
      </c>
      <c r="CM78" s="36" t="str">
        <f t="shared" si="71"/>
        <v/>
      </c>
      <c r="CN78" s="37" t="str">
        <f ca="1">IF($AN78&gt;CN$1,"",INDEX($AG$2:$AG$226,SMALL(CM$2:$CM$226,$AN78),1))</f>
        <v/>
      </c>
      <c r="CO78" s="36" t="str">
        <f t="shared" si="72"/>
        <v/>
      </c>
      <c r="CP78" s="37" t="str">
        <f t="shared" ca="1" si="73"/>
        <v/>
      </c>
      <c r="CS78" s="28" t="str">
        <f t="shared" si="57"/>
        <v/>
      </c>
      <c r="CT78" s="37" t="str">
        <f t="shared" ca="1" si="58"/>
        <v/>
      </c>
      <c r="CU78" s="28" t="str">
        <f t="shared" si="57"/>
        <v/>
      </c>
      <c r="CV78" s="37" t="str">
        <f t="shared" ca="1" si="59"/>
        <v/>
      </c>
      <c r="CW78" s="28" t="str">
        <f t="shared" si="60"/>
        <v/>
      </c>
      <c r="CX78" s="37" t="str">
        <f t="shared" ca="1" si="61"/>
        <v/>
      </c>
      <c r="CY78" s="28" t="str">
        <f t="shared" si="62"/>
        <v/>
      </c>
      <c r="CZ78" s="37" t="str">
        <f t="shared" ca="1" si="61"/>
        <v/>
      </c>
      <c r="DA78" s="28" t="str">
        <f t="shared" si="63"/>
        <v/>
      </c>
      <c r="DB78" s="37" t="str">
        <f t="shared" ca="1" si="64"/>
        <v/>
      </c>
      <c r="DC78" s="28" t="str">
        <f t="shared" si="65"/>
        <v/>
      </c>
      <c r="DD78" s="37" t="str">
        <f t="shared" ca="1" si="66"/>
        <v/>
      </c>
      <c r="DN78" s="32">
        <v>77</v>
      </c>
      <c r="DO78" s="34" t="s">
        <v>651</v>
      </c>
      <c r="DP78" s="38">
        <f t="shared" si="51"/>
        <v>0</v>
      </c>
      <c r="DQ78" s="173" t="str">
        <f t="shared" si="74"/>
        <v>(Athl) 0</v>
      </c>
      <c r="DR78" s="36" t="str">
        <f t="shared" si="75"/>
        <v/>
      </c>
      <c r="DS78" s="37" t="str">
        <f t="shared" si="76"/>
        <v/>
      </c>
      <c r="DV78" s="176">
        <f t="shared" si="67"/>
        <v>0</v>
      </c>
      <c r="DW78" s="243">
        <f>IF(COUNTIF('Char Sheet p1'!$AP$7:$AP$35,DQ78)=0,0,ROUNDDOWN(SUMIF('Char Sheet p1'!$AP$7:$AP$35,DQ78,'Char Sheet p1'!$AQ$7:$AQ$35)/10,0))</f>
        <v>0</v>
      </c>
      <c r="DX78" s="240">
        <f t="shared" si="77"/>
        <v>0</v>
      </c>
      <c r="DY78" s="36">
        <f t="shared" si="53"/>
        <v>25</v>
      </c>
      <c r="DZ78" s="36" t="str">
        <f t="shared" si="68"/>
        <v/>
      </c>
      <c r="EE78" s="36">
        <f t="shared" si="52"/>
        <v>4</v>
      </c>
    </row>
    <row r="79" spans="1:135">
      <c r="A79" s="138">
        <f t="shared" si="69"/>
        <v>0</v>
      </c>
      <c r="B79" s="168">
        <f t="shared" si="70"/>
        <v>0</v>
      </c>
      <c r="C79" s="32" t="s">
        <v>387</v>
      </c>
      <c r="D79" s="34" t="s">
        <v>681</v>
      </c>
      <c r="E79" s="31"/>
      <c r="F79" s="31">
        <f t="shared" ca="1" si="79"/>
        <v>1</v>
      </c>
      <c r="G79" s="34" t="s">
        <v>672</v>
      </c>
      <c r="H79" s="168">
        <f t="shared" ca="1" si="43"/>
        <v>3</v>
      </c>
      <c r="I79" s="168" t="str">
        <f t="shared" ca="1" si="44"/>
        <v>+1B</v>
      </c>
      <c r="J79" s="154"/>
      <c r="K79" s="102"/>
      <c r="L79" s="31"/>
      <c r="M79" s="31"/>
      <c r="N79" s="31" t="s">
        <v>426</v>
      </c>
      <c r="O79" s="31" t="str">
        <f>IF(COUNTIF(qualities,"Massive")=0,"2h","Adaptable")</f>
        <v>2h</v>
      </c>
      <c r="P79" s="31"/>
      <c r="Q79" s="407">
        <f t="shared" si="80"/>
        <v>0</v>
      </c>
      <c r="R79" s="31"/>
      <c r="S79" s="31"/>
      <c r="T79" s="31"/>
      <c r="U79" s="31" t="str">
        <f>IF(COUNTIF(qualities,"Massive")=1,"","Unwieldy")</f>
        <v>Unwieldy</v>
      </c>
      <c r="V79" s="168" t="s">
        <v>438</v>
      </c>
      <c r="W79" s="36" t="s">
        <v>440</v>
      </c>
      <c r="X79" s="36">
        <v>2</v>
      </c>
      <c r="Y79" s="36">
        <f t="shared" ca="1" si="45"/>
        <v>6</v>
      </c>
      <c r="Z79" s="36"/>
      <c r="AA79" s="176" t="str">
        <f t="shared" si="50"/>
        <v xml:space="preserve">Slow, 2h, Unwieldy, Impale, Set for Charge, </v>
      </c>
      <c r="AB79" s="176" t="str">
        <f t="shared" si="46"/>
        <v>Slow, 2h, Unwieldy, Impale, Set for Charge</v>
      </c>
      <c r="AC79" s="176">
        <f t="shared" si="47"/>
        <v>0</v>
      </c>
      <c r="AD79" s="176">
        <f t="shared" si="48"/>
        <v>0</v>
      </c>
      <c r="AG79" s="32" t="s">
        <v>762</v>
      </c>
      <c r="AH79" s="34" t="s">
        <v>773</v>
      </c>
      <c r="AI79" s="34"/>
      <c r="AJ79" s="31"/>
      <c r="AK79" s="31"/>
      <c r="AL79" s="31" t="str">
        <f t="shared" si="54"/>
        <v/>
      </c>
      <c r="AM79" s="31">
        <v>1</v>
      </c>
      <c r="AN79" s="31">
        <f t="shared" si="78"/>
        <v>78</v>
      </c>
      <c r="AO79" s="35" t="s">
        <v>79</v>
      </c>
      <c r="AP79" s="134"/>
      <c r="AQ79" s="47"/>
      <c r="AR79" s="134"/>
      <c r="AS79" s="47"/>
      <c r="AT79" s="134"/>
      <c r="AU79" s="47"/>
      <c r="AV79" s="134"/>
      <c r="AW79" s="47"/>
      <c r="AX79" s="134"/>
      <c r="AY79" s="47"/>
      <c r="AZ79" s="134"/>
      <c r="BA79" s="47"/>
      <c r="BB79" s="134"/>
      <c r="BC79" s="47"/>
      <c r="BD79" s="134"/>
      <c r="BE79" s="47"/>
      <c r="BF79" s="134"/>
      <c r="BG79" s="47"/>
      <c r="BH79" s="134"/>
      <c r="BI79" s="47"/>
      <c r="BJ79" s="134"/>
      <c r="BK79" s="47"/>
      <c r="BL79" s="134"/>
      <c r="BM79" s="47"/>
      <c r="BN79" s="134"/>
      <c r="BO79" s="47"/>
      <c r="BP79" s="134"/>
      <c r="BQ79" s="47"/>
      <c r="BR79" s="134"/>
      <c r="BS79" s="47"/>
      <c r="BT79" s="134"/>
      <c r="BU79" s="47"/>
      <c r="BV79" s="134"/>
      <c r="BW79" s="47"/>
      <c r="BX79" s="134"/>
      <c r="BY79" s="47"/>
      <c r="BZ79" s="134"/>
      <c r="CA79" s="47"/>
      <c r="CB79" s="120"/>
      <c r="CC79" s="120"/>
      <c r="CD79" s="120"/>
      <c r="CE79" s="120"/>
      <c r="CF79" s="120"/>
      <c r="CG79" s="120"/>
      <c r="CH79" s="120"/>
      <c r="CI79" s="120"/>
      <c r="CJ79" s="120"/>
      <c r="CK79" s="179">
        <f t="shared" si="55"/>
        <v>78</v>
      </c>
      <c r="CL79" s="37" t="str">
        <f t="shared" ca="1" si="56"/>
        <v/>
      </c>
      <c r="CM79" s="36">
        <f t="shared" si="71"/>
        <v>78</v>
      </c>
      <c r="CN79" s="37" t="str">
        <f ca="1">IF($AN79&gt;CN$1,"",INDEX($AG$2:$AG$226,SMALL(CM$2:$CM$226,$AN79),1))</f>
        <v/>
      </c>
      <c r="CO79" s="36">
        <f t="shared" si="72"/>
        <v>78</v>
      </c>
      <c r="CP79" s="37" t="str">
        <f t="shared" ca="1" si="73"/>
        <v/>
      </c>
      <c r="CS79" s="28">
        <f t="shared" si="57"/>
        <v>78</v>
      </c>
      <c r="CT79" s="37" t="str">
        <f t="shared" ca="1" si="58"/>
        <v/>
      </c>
      <c r="CU79" s="28">
        <f t="shared" si="57"/>
        <v>78</v>
      </c>
      <c r="CV79" s="37" t="str">
        <f t="shared" ca="1" si="59"/>
        <v/>
      </c>
      <c r="CW79" s="28">
        <f t="shared" si="60"/>
        <v>78</v>
      </c>
      <c r="CX79" s="37" t="str">
        <f t="shared" ca="1" si="61"/>
        <v/>
      </c>
      <c r="CY79" s="28">
        <f t="shared" si="62"/>
        <v>78</v>
      </c>
      <c r="CZ79" s="37" t="str">
        <f t="shared" ca="1" si="61"/>
        <v/>
      </c>
      <c r="DA79" s="28">
        <f t="shared" si="63"/>
        <v>78</v>
      </c>
      <c r="DB79" s="37" t="str">
        <f t="shared" ca="1" si="64"/>
        <v/>
      </c>
      <c r="DC79" s="28">
        <f t="shared" si="65"/>
        <v>78</v>
      </c>
      <c r="DD79" s="37" t="str">
        <f t="shared" ca="1" si="66"/>
        <v/>
      </c>
      <c r="DN79" s="32">
        <v>78</v>
      </c>
      <c r="DO79" s="34" t="s">
        <v>651</v>
      </c>
      <c r="DP79" s="38">
        <f t="shared" si="51"/>
        <v>0</v>
      </c>
      <c r="DQ79" s="173" t="str">
        <f t="shared" si="74"/>
        <v>(Athl) 0</v>
      </c>
      <c r="DR79" s="36" t="str">
        <f t="shared" si="75"/>
        <v/>
      </c>
      <c r="DS79" s="37" t="str">
        <f t="shared" si="76"/>
        <v/>
      </c>
      <c r="DV79" s="176">
        <f t="shared" si="67"/>
        <v>0</v>
      </c>
      <c r="DW79" s="243">
        <f>IF(COUNTIF('Char Sheet p1'!$AP$7:$AP$35,DQ79)=0,0,ROUNDDOWN(SUMIF('Char Sheet p1'!$AP$7:$AP$35,DQ79,'Char Sheet p1'!$AQ$7:$AQ$35)/10,0))</f>
        <v>0</v>
      </c>
      <c r="DX79" s="240">
        <f t="shared" si="77"/>
        <v>0</v>
      </c>
      <c r="DY79" s="36">
        <f t="shared" si="53"/>
        <v>26</v>
      </c>
      <c r="DZ79" s="36" t="str">
        <f t="shared" si="68"/>
        <v/>
      </c>
      <c r="EE79" s="55">
        <f t="shared" si="52"/>
        <v>4</v>
      </c>
    </row>
    <row r="80" spans="1:135">
      <c r="A80" s="138">
        <f t="shared" si="69"/>
        <v>0</v>
      </c>
      <c r="B80" s="168">
        <f t="shared" si="70"/>
        <v>0</v>
      </c>
      <c r="C80" s="32" t="s">
        <v>388</v>
      </c>
      <c r="D80" s="34" t="s">
        <v>681</v>
      </c>
      <c r="E80" s="31"/>
      <c r="F80" s="31">
        <f t="shared" ca="1" si="79"/>
        <v>1</v>
      </c>
      <c r="G80" s="34" t="s">
        <v>672</v>
      </c>
      <c r="H80" s="168">
        <f t="shared" ca="1" si="43"/>
        <v>3</v>
      </c>
      <c r="I80" s="168" t="str">
        <f t="shared" ca="1" si="44"/>
        <v>+1B</v>
      </c>
      <c r="J80" s="154"/>
      <c r="K80" s="102"/>
      <c r="L80" s="31"/>
      <c r="M80" s="31"/>
      <c r="N80" s="31" t="s">
        <v>848</v>
      </c>
      <c r="O80" s="31"/>
      <c r="P80" s="31"/>
      <c r="Q80" s="407">
        <f t="shared" si="80"/>
        <v>0</v>
      </c>
      <c r="R80" s="31"/>
      <c r="S80" s="31"/>
      <c r="T80" s="31"/>
      <c r="U80" s="31"/>
      <c r="V80" s="168" t="s">
        <v>436</v>
      </c>
      <c r="W80" s="36" t="s">
        <v>440</v>
      </c>
      <c r="X80" s="36"/>
      <c r="Y80" s="36">
        <f t="shared" ca="1" si="45"/>
        <v>4</v>
      </c>
      <c r="Z80" s="36"/>
      <c r="AA80" s="176" t="str">
        <f t="shared" si="50"/>
        <v xml:space="preserve">Fast, </v>
      </c>
      <c r="AB80" s="176" t="str">
        <f t="shared" si="46"/>
        <v>Fast</v>
      </c>
      <c r="AC80" s="176">
        <f t="shared" si="47"/>
        <v>0</v>
      </c>
      <c r="AD80" s="176">
        <f t="shared" si="48"/>
        <v>0</v>
      </c>
      <c r="AG80" s="32" t="s">
        <v>850</v>
      </c>
      <c r="AH80" s="34" t="s">
        <v>880</v>
      </c>
      <c r="AI80" s="34" t="s">
        <v>921</v>
      </c>
      <c r="AJ80" s="31"/>
      <c r="AK80" s="31"/>
      <c r="AL80" s="31" t="str">
        <f t="shared" si="54"/>
        <v/>
      </c>
      <c r="AM80" s="31">
        <f ca="1">N(AND(marksmanship&gt;3,SUMIF(marspec,"Thrown",marspecval)&gt;1))</f>
        <v>0</v>
      </c>
      <c r="AN80" s="31">
        <f t="shared" si="78"/>
        <v>79</v>
      </c>
      <c r="AO80" s="35" t="s">
        <v>957</v>
      </c>
      <c r="AP80" s="134"/>
      <c r="AQ80" s="47"/>
      <c r="AR80" s="134"/>
      <c r="AS80" s="47"/>
      <c r="AT80" s="134"/>
      <c r="AU80" s="47"/>
      <c r="AV80" s="134"/>
      <c r="AW80" s="47"/>
      <c r="AX80" s="134"/>
      <c r="AY80" s="47"/>
      <c r="AZ80" s="134"/>
      <c r="BA80" s="47"/>
      <c r="BB80" s="134"/>
      <c r="BC80" s="47"/>
      <c r="BD80" s="134"/>
      <c r="BE80" s="47"/>
      <c r="BF80" s="134"/>
      <c r="BG80" s="47"/>
      <c r="BH80" s="134"/>
      <c r="BI80" s="47"/>
      <c r="BJ80" s="134"/>
      <c r="BK80" s="47"/>
      <c r="BL80" s="134"/>
      <c r="BM80" s="47"/>
      <c r="BN80" s="134"/>
      <c r="BO80" s="47"/>
      <c r="BP80" s="134"/>
      <c r="BQ80" s="47"/>
      <c r="BR80" s="134"/>
      <c r="BS80" s="47"/>
      <c r="BT80" s="134"/>
      <c r="BU80" s="47"/>
      <c r="BV80" s="134"/>
      <c r="BW80" s="47"/>
      <c r="BX80" s="134"/>
      <c r="BY80" s="47"/>
      <c r="BZ80" s="134"/>
      <c r="CA80" s="47"/>
      <c r="CB80" s="120"/>
      <c r="CC80" s="120"/>
      <c r="CD80" s="120"/>
      <c r="CE80" s="120"/>
      <c r="CF80" s="120"/>
      <c r="CG80" s="120"/>
      <c r="CH80" s="120"/>
      <c r="CI80" s="120"/>
      <c r="CJ80" s="120"/>
      <c r="CK80" s="179" t="str">
        <f t="shared" ca="1" si="55"/>
        <v/>
      </c>
      <c r="CL80" s="37" t="str">
        <f t="shared" ca="1" si="56"/>
        <v/>
      </c>
      <c r="CM80" s="36" t="str">
        <f t="shared" ca="1" si="71"/>
        <v/>
      </c>
      <c r="CN80" s="37" t="str">
        <f ca="1">IF($AN80&gt;CN$1,"",INDEX($AG$2:$AG$226,SMALL(CM$2:$CM$226,$AN80),1))</f>
        <v/>
      </c>
      <c r="CO80" s="36" t="str">
        <f t="shared" ca="1" si="72"/>
        <v/>
      </c>
      <c r="CP80" s="37" t="str">
        <f t="shared" ca="1" si="73"/>
        <v/>
      </c>
      <c r="CS80" s="28" t="str">
        <f t="shared" ca="1" si="57"/>
        <v/>
      </c>
      <c r="CT80" s="37" t="str">
        <f t="shared" ca="1" si="58"/>
        <v/>
      </c>
      <c r="CU80" s="28" t="str">
        <f t="shared" ca="1" si="57"/>
        <v/>
      </c>
      <c r="CV80" s="37" t="str">
        <f t="shared" ca="1" si="59"/>
        <v/>
      </c>
      <c r="CW80" s="28" t="str">
        <f t="shared" ca="1" si="60"/>
        <v/>
      </c>
      <c r="CX80" s="37" t="str">
        <f t="shared" ca="1" si="61"/>
        <v/>
      </c>
      <c r="CY80" s="28" t="str">
        <f t="shared" ca="1" si="62"/>
        <v/>
      </c>
      <c r="CZ80" s="37" t="str">
        <f t="shared" ca="1" si="61"/>
        <v/>
      </c>
      <c r="DA80" s="28" t="str">
        <f t="shared" ca="1" si="63"/>
        <v/>
      </c>
      <c r="DB80" s="37" t="str">
        <f t="shared" ca="1" si="64"/>
        <v/>
      </c>
      <c r="DC80" s="28" t="str">
        <f t="shared" ca="1" si="65"/>
        <v/>
      </c>
      <c r="DD80" s="37" t="str">
        <f t="shared" ca="1" si="66"/>
        <v/>
      </c>
      <c r="DN80" s="32">
        <v>79</v>
      </c>
      <c r="DO80" s="34" t="s">
        <v>658</v>
      </c>
      <c r="DP80" s="38" t="str">
        <f t="shared" ref="DP80:DP105" si="81">O2</f>
        <v>Empathy</v>
      </c>
      <c r="DQ80" s="173" t="str">
        <f t="shared" si="74"/>
        <v>(Awar) Empathy</v>
      </c>
      <c r="DR80" s="36">
        <f t="shared" si="75"/>
        <v>79</v>
      </c>
      <c r="DS80" s="37" t="str">
        <f t="shared" si="76"/>
        <v/>
      </c>
      <c r="DV80" s="176">
        <f t="shared" si="67"/>
        <v>0</v>
      </c>
      <c r="DW80" s="243">
        <f>IF(COUNTIF('Char Sheet p1'!$AP$7:$AP$35,DQ80)=0,0,ROUNDDOWN(SUMIF('Char Sheet p1'!$AP$7:$AP$35,DQ80,'Char Sheet p1'!$AQ$7:$AQ$35)/10,0))</f>
        <v>0</v>
      </c>
      <c r="DX80" s="240">
        <f t="shared" si="77"/>
        <v>0</v>
      </c>
      <c r="DY80" s="36">
        <v>1</v>
      </c>
      <c r="DZ80" s="36" t="str">
        <f t="shared" si="68"/>
        <v/>
      </c>
      <c r="EE80" s="245">
        <f>'Char Sheet p1'!B15</f>
        <v>3</v>
      </c>
    </row>
    <row r="81" spans="1:135">
      <c r="A81" s="138">
        <f t="shared" si="69"/>
        <v>0</v>
      </c>
      <c r="B81" s="168">
        <f t="shared" si="70"/>
        <v>0</v>
      </c>
      <c r="C81" s="32" t="s">
        <v>389</v>
      </c>
      <c r="D81" s="34" t="s">
        <v>681</v>
      </c>
      <c r="E81" s="31">
        <v>1</v>
      </c>
      <c r="F81" s="31">
        <f t="shared" ca="1" si="79"/>
        <v>0</v>
      </c>
      <c r="G81" s="34" t="s">
        <v>672</v>
      </c>
      <c r="H81" s="168">
        <f t="shared" ca="1" si="43"/>
        <v>3</v>
      </c>
      <c r="I81" s="168" t="str">
        <f t="shared" ca="1" si="44"/>
        <v/>
      </c>
      <c r="J81" s="154"/>
      <c r="K81" s="102">
        <v>1</v>
      </c>
      <c r="L81" s="31" t="s">
        <v>423</v>
      </c>
      <c r="M81" s="31"/>
      <c r="N81" s="31" t="s">
        <v>426</v>
      </c>
      <c r="O81" s="31"/>
      <c r="P81" s="31"/>
      <c r="Q81" s="407">
        <f t="shared" si="80"/>
        <v>0</v>
      </c>
      <c r="R81" s="31">
        <f ca="1">powerful</f>
        <v>0</v>
      </c>
      <c r="S81" s="31"/>
      <c r="T81" s="31"/>
      <c r="U81" s="31"/>
      <c r="V81" s="168" t="s">
        <v>420</v>
      </c>
      <c r="W81" s="36" t="s">
        <v>442</v>
      </c>
      <c r="X81" s="36">
        <v>3</v>
      </c>
      <c r="Y81" s="36">
        <f t="shared" ca="1" si="45"/>
        <v>6</v>
      </c>
      <c r="Z81" s="36"/>
      <c r="AA81" s="176" t="str">
        <f t="shared" si="50"/>
        <v xml:space="preserve">Bulk 1, Reach, Slow, Mounted, </v>
      </c>
      <c r="AB81" s="176" t="str">
        <f t="shared" si="46"/>
        <v>Bulk 1, Reach, Slow, Mounted</v>
      </c>
      <c r="AC81" s="176">
        <f t="shared" si="47"/>
        <v>0</v>
      </c>
      <c r="AD81" s="176">
        <f t="shared" si="48"/>
        <v>0</v>
      </c>
      <c r="AG81" s="32" t="s">
        <v>763</v>
      </c>
      <c r="AH81" s="34" t="s">
        <v>773</v>
      </c>
      <c r="AI81" s="34" t="s">
        <v>798</v>
      </c>
      <c r="AJ81" s="31"/>
      <c r="AK81" s="31"/>
      <c r="AL81" s="31" t="str">
        <f t="shared" si="54"/>
        <v/>
      </c>
      <c r="AM81" s="31">
        <f ca="1">N(AND(endurance&gt;2,SUMIF(endspec,"Stamina",endspecval)&gt;0))</f>
        <v>0</v>
      </c>
      <c r="AN81" s="31">
        <f t="shared" si="78"/>
        <v>80</v>
      </c>
      <c r="AO81" s="35" t="s">
        <v>80</v>
      </c>
      <c r="AP81" s="134"/>
      <c r="AQ81" s="47"/>
      <c r="AR81" s="134"/>
      <c r="AS81" s="47"/>
      <c r="AT81" s="134"/>
      <c r="AU81" s="47"/>
      <c r="AV81" s="134"/>
      <c r="AW81" s="47"/>
      <c r="AX81" s="134"/>
      <c r="AY81" s="47"/>
      <c r="AZ81" s="134"/>
      <c r="BA81" s="47"/>
      <c r="BB81" s="134"/>
      <c r="BC81" s="47"/>
      <c r="BD81" s="134"/>
      <c r="BE81" s="47"/>
      <c r="BF81" s="134"/>
      <c r="BG81" s="47"/>
      <c r="BH81" s="134"/>
      <c r="BI81" s="47"/>
      <c r="BJ81" s="134"/>
      <c r="BK81" s="47"/>
      <c r="BL81" s="134"/>
      <c r="BM81" s="47"/>
      <c r="BN81" s="134"/>
      <c r="BO81" s="47"/>
      <c r="BP81" s="134"/>
      <c r="BQ81" s="47"/>
      <c r="BR81" s="134"/>
      <c r="BS81" s="47"/>
      <c r="BT81" s="134"/>
      <c r="BU81" s="47"/>
      <c r="BV81" s="134"/>
      <c r="BW81" s="47"/>
      <c r="BX81" s="134"/>
      <c r="BY81" s="47"/>
      <c r="BZ81" s="134"/>
      <c r="CA81" s="47"/>
      <c r="CB81" s="120"/>
      <c r="CC81" s="120"/>
      <c r="CD81" s="120"/>
      <c r="CE81" s="120"/>
      <c r="CF81" s="120"/>
      <c r="CG81" s="120"/>
      <c r="CH81" s="120"/>
      <c r="CI81" s="120"/>
      <c r="CJ81" s="120"/>
      <c r="CK81" s="179" t="str">
        <f t="shared" ca="1" si="55"/>
        <v/>
      </c>
      <c r="CL81" s="37" t="str">
        <f t="shared" ca="1" si="56"/>
        <v/>
      </c>
      <c r="CM81" s="36" t="str">
        <f t="shared" ca="1" si="71"/>
        <v/>
      </c>
      <c r="CN81" s="37" t="str">
        <f ca="1">IF($AN81&gt;CN$1,"",INDEX($AG$2:$AG$226,SMALL(CM$2:$CM$226,$AN81),1))</f>
        <v/>
      </c>
      <c r="CO81" s="36" t="str">
        <f t="shared" ca="1" si="72"/>
        <v/>
      </c>
      <c r="CP81" s="37" t="str">
        <f t="shared" ca="1" si="73"/>
        <v/>
      </c>
      <c r="CS81" s="28" t="str">
        <f t="shared" ca="1" si="57"/>
        <v/>
      </c>
      <c r="CT81" s="37" t="str">
        <f t="shared" ca="1" si="58"/>
        <v/>
      </c>
      <c r="CU81" s="28" t="str">
        <f t="shared" ca="1" si="57"/>
        <v/>
      </c>
      <c r="CV81" s="37" t="str">
        <f t="shared" ca="1" si="59"/>
        <v/>
      </c>
      <c r="CW81" s="28" t="str">
        <f t="shared" ca="1" si="60"/>
        <v/>
      </c>
      <c r="CX81" s="37" t="str">
        <f t="shared" ca="1" si="61"/>
        <v/>
      </c>
      <c r="CY81" s="28" t="str">
        <f t="shared" ca="1" si="62"/>
        <v/>
      </c>
      <c r="CZ81" s="37" t="str">
        <f t="shared" ca="1" si="61"/>
        <v/>
      </c>
      <c r="DA81" s="28" t="str">
        <f t="shared" ca="1" si="63"/>
        <v/>
      </c>
      <c r="DB81" s="37" t="str">
        <f t="shared" ca="1" si="64"/>
        <v/>
      </c>
      <c r="DC81" s="28" t="str">
        <f t="shared" ca="1" si="65"/>
        <v/>
      </c>
      <c r="DD81" s="37" t="str">
        <f t="shared" ca="1" si="66"/>
        <v/>
      </c>
      <c r="DN81" s="32">
        <v>80</v>
      </c>
      <c r="DO81" s="34" t="s">
        <v>658</v>
      </c>
      <c r="DP81" s="38" t="str">
        <f t="shared" si="81"/>
        <v>Notice</v>
      </c>
      <c r="DQ81" s="173" t="str">
        <f t="shared" si="74"/>
        <v>(Awar) Notice</v>
      </c>
      <c r="DR81" s="36">
        <f t="shared" si="75"/>
        <v>80</v>
      </c>
      <c r="DS81" s="37" t="str">
        <f t="shared" si="76"/>
        <v/>
      </c>
      <c r="DV81" s="176">
        <f t="shared" si="67"/>
        <v>0</v>
      </c>
      <c r="DW81" s="243">
        <f>IF(COUNTIF('Char Sheet p1'!$AP$7:$AP$35,DQ81)=0,0,ROUNDDOWN(SUMIF('Char Sheet p1'!$AP$7:$AP$35,DQ81,'Char Sheet p1'!$AQ$7:$AQ$35)/10,0))</f>
        <v>0</v>
      </c>
      <c r="DX81" s="240">
        <f t="shared" si="77"/>
        <v>0</v>
      </c>
      <c r="DY81" s="36">
        <v>2</v>
      </c>
      <c r="DZ81" s="36" t="str">
        <f t="shared" si="68"/>
        <v/>
      </c>
      <c r="EE81" s="36">
        <f>EE80</f>
        <v>3</v>
      </c>
    </row>
    <row r="82" spans="1:135">
      <c r="A82" s="138">
        <f t="shared" si="69"/>
        <v>0</v>
      </c>
      <c r="B82" s="168">
        <f t="shared" si="70"/>
        <v>0</v>
      </c>
      <c r="C82" s="32" t="s">
        <v>390</v>
      </c>
      <c r="D82" s="34" t="s">
        <v>681</v>
      </c>
      <c r="E82" s="31"/>
      <c r="F82" s="31">
        <f t="shared" ca="1" si="79"/>
        <v>1</v>
      </c>
      <c r="G82" s="34" t="s">
        <v>672</v>
      </c>
      <c r="H82" s="168">
        <f t="shared" ca="1" si="43"/>
        <v>3</v>
      </c>
      <c r="I82" s="168" t="str">
        <f t="shared" ca="1" si="44"/>
        <v>+1B</v>
      </c>
      <c r="J82" s="154"/>
      <c r="K82" s="102"/>
      <c r="L82" s="31"/>
      <c r="M82" s="31"/>
      <c r="N82" s="31"/>
      <c r="O82" s="31" t="s">
        <v>415</v>
      </c>
      <c r="P82" s="31"/>
      <c r="Q82" s="407">
        <f t="shared" si="80"/>
        <v>0</v>
      </c>
      <c r="R82" s="31"/>
      <c r="S82" s="31"/>
      <c r="T82" s="31"/>
      <c r="U82" s="31"/>
      <c r="V82" s="168" t="s">
        <v>436</v>
      </c>
      <c r="W82" s="36" t="s">
        <v>440</v>
      </c>
      <c r="X82" s="36"/>
      <c r="Y82" s="36">
        <f t="shared" ca="1" si="45"/>
        <v>4</v>
      </c>
      <c r="Z82" s="36"/>
      <c r="AA82" s="176" t="str">
        <f t="shared" si="50"/>
        <v xml:space="preserve">Adaptable, </v>
      </c>
      <c r="AB82" s="176" t="str">
        <f t="shared" si="46"/>
        <v>Adaptable</v>
      </c>
      <c r="AC82" s="176">
        <f t="shared" si="47"/>
        <v>0</v>
      </c>
      <c r="AD82" s="176">
        <f t="shared" si="48"/>
        <v>0</v>
      </c>
      <c r="AG82" s="32" t="s">
        <v>764</v>
      </c>
      <c r="AH82" s="34" t="s">
        <v>773</v>
      </c>
      <c r="AI82" s="34" t="s">
        <v>799</v>
      </c>
      <c r="AJ82" s="31"/>
      <c r="AK82" s="31"/>
      <c r="AL82" s="31" t="str">
        <f t="shared" si="54"/>
        <v/>
      </c>
      <c r="AM82" s="31">
        <f ca="1">N(AND(status&gt;2,SUMIF(staspec,"Stewardship",staspecval)&gt;0))</f>
        <v>0</v>
      </c>
      <c r="AN82" s="31">
        <f t="shared" si="78"/>
        <v>81</v>
      </c>
      <c r="AO82" s="35" t="s">
        <v>81</v>
      </c>
      <c r="AP82" s="134"/>
      <c r="AQ82" s="47"/>
      <c r="AR82" s="134"/>
      <c r="AS82" s="47"/>
      <c r="AT82" s="134"/>
      <c r="AU82" s="47"/>
      <c r="AV82" s="134"/>
      <c r="AW82" s="47"/>
      <c r="AX82" s="134"/>
      <c r="AY82" s="47"/>
      <c r="AZ82" s="134"/>
      <c r="BA82" s="47"/>
      <c r="BB82" s="134"/>
      <c r="BC82" s="47"/>
      <c r="BD82" s="134"/>
      <c r="BE82" s="47"/>
      <c r="BF82" s="134"/>
      <c r="BG82" s="47"/>
      <c r="BH82" s="134"/>
      <c r="BI82" s="47"/>
      <c r="BJ82" s="134"/>
      <c r="BK82" s="47"/>
      <c r="BL82" s="134"/>
      <c r="BM82" s="47"/>
      <c r="BN82" s="134"/>
      <c r="BO82" s="47"/>
      <c r="BP82" s="134"/>
      <c r="BQ82" s="47"/>
      <c r="BR82" s="134"/>
      <c r="BS82" s="47"/>
      <c r="BT82" s="134"/>
      <c r="BU82" s="47"/>
      <c r="BV82" s="134"/>
      <c r="BW82" s="47"/>
      <c r="BX82" s="134"/>
      <c r="BY82" s="47"/>
      <c r="BZ82" s="134"/>
      <c r="CA82" s="47"/>
      <c r="CB82" s="120"/>
      <c r="CC82" s="120"/>
      <c r="CD82" s="120"/>
      <c r="CE82" s="120"/>
      <c r="CF82" s="120"/>
      <c r="CG82" s="120"/>
      <c r="CH82" s="120"/>
      <c r="CI82" s="120"/>
      <c r="CJ82" s="120"/>
      <c r="CK82" s="179" t="str">
        <f t="shared" ca="1" si="55"/>
        <v/>
      </c>
      <c r="CL82" s="37" t="str">
        <f t="shared" ca="1" si="56"/>
        <v/>
      </c>
      <c r="CM82" s="36" t="str">
        <f t="shared" ca="1" si="71"/>
        <v/>
      </c>
      <c r="CN82" s="37" t="str">
        <f ca="1">IF($AN82&gt;CN$1,"",INDEX($AG$2:$AG$226,SMALL(CM$2:$CM$226,$AN82),1))</f>
        <v/>
      </c>
      <c r="CO82" s="36" t="str">
        <f t="shared" ca="1" si="72"/>
        <v/>
      </c>
      <c r="CP82" s="37" t="str">
        <f t="shared" ca="1" si="73"/>
        <v/>
      </c>
      <c r="CS82" s="28" t="str">
        <f t="shared" ca="1" si="57"/>
        <v/>
      </c>
      <c r="CT82" s="37" t="str">
        <f t="shared" ca="1" si="58"/>
        <v/>
      </c>
      <c r="CU82" s="28" t="str">
        <f t="shared" ca="1" si="57"/>
        <v/>
      </c>
      <c r="CV82" s="37" t="str">
        <f t="shared" ca="1" si="59"/>
        <v/>
      </c>
      <c r="CW82" s="28" t="str">
        <f t="shared" ca="1" si="60"/>
        <v/>
      </c>
      <c r="CX82" s="37" t="str">
        <f t="shared" ca="1" si="61"/>
        <v/>
      </c>
      <c r="CY82" s="28" t="str">
        <f t="shared" ca="1" si="62"/>
        <v/>
      </c>
      <c r="CZ82" s="37" t="str">
        <f t="shared" ca="1" si="61"/>
        <v/>
      </c>
      <c r="DA82" s="28" t="str">
        <f t="shared" ca="1" si="63"/>
        <v/>
      </c>
      <c r="DB82" s="37" t="str">
        <f t="shared" ca="1" si="64"/>
        <v/>
      </c>
      <c r="DC82" s="28" t="str">
        <f t="shared" ca="1" si="65"/>
        <v/>
      </c>
      <c r="DD82" s="37" t="str">
        <f t="shared" ca="1" si="66"/>
        <v/>
      </c>
      <c r="DN82" s="32">
        <v>81</v>
      </c>
      <c r="DO82" s="34" t="s">
        <v>658</v>
      </c>
      <c r="DP82" s="38">
        <f t="shared" si="81"/>
        <v>0</v>
      </c>
      <c r="DQ82" s="173" t="str">
        <f t="shared" si="74"/>
        <v>(Awar) 0</v>
      </c>
      <c r="DR82" s="36" t="str">
        <f t="shared" si="75"/>
        <v/>
      </c>
      <c r="DS82" s="37" t="str">
        <f t="shared" si="76"/>
        <v/>
      </c>
      <c r="DV82" s="176">
        <f t="shared" si="67"/>
        <v>0</v>
      </c>
      <c r="DW82" s="243">
        <f>IF(COUNTIF('Char Sheet p1'!$AP$7:$AP$35,DQ82)=0,0,ROUNDDOWN(SUMIF('Char Sheet p1'!$AP$7:$AP$35,DQ82,'Char Sheet p1'!$AQ$7:$AQ$35)/10,0))</f>
        <v>0</v>
      </c>
      <c r="DX82" s="240">
        <f t="shared" si="77"/>
        <v>0</v>
      </c>
      <c r="DY82" s="36">
        <v>3</v>
      </c>
      <c r="DZ82" s="36" t="str">
        <f t="shared" si="68"/>
        <v/>
      </c>
      <c r="EE82" s="36">
        <f t="shared" ref="EE82:EE105" si="82">EE81</f>
        <v>3</v>
      </c>
    </row>
    <row r="83" spans="1:135">
      <c r="A83" s="138">
        <f t="shared" si="69"/>
        <v>0</v>
      </c>
      <c r="B83" s="168">
        <f t="shared" si="70"/>
        <v>0</v>
      </c>
      <c r="C83" s="32" t="s">
        <v>391</v>
      </c>
      <c r="D83" s="34" t="s">
        <v>681</v>
      </c>
      <c r="E83" s="31">
        <v>1</v>
      </c>
      <c r="F83" s="31">
        <f t="shared" ca="1" si="79"/>
        <v>0</v>
      </c>
      <c r="G83" s="34" t="s">
        <v>672</v>
      </c>
      <c r="H83" s="168">
        <f t="shared" ca="1" si="43"/>
        <v>3</v>
      </c>
      <c r="I83" s="168" t="str">
        <f t="shared" ca="1" si="44"/>
        <v/>
      </c>
      <c r="J83" s="154"/>
      <c r="K83" s="102">
        <v>2</v>
      </c>
      <c r="L83" s="31"/>
      <c r="M83" s="31"/>
      <c r="N83" s="31" t="s">
        <v>426</v>
      </c>
      <c r="O83" s="31"/>
      <c r="P83" s="31"/>
      <c r="Q83" s="407">
        <f t="shared" si="80"/>
        <v>0</v>
      </c>
      <c r="R83" s="31">
        <f ca="1">powerful</f>
        <v>0</v>
      </c>
      <c r="S83" s="31"/>
      <c r="T83" s="31"/>
      <c r="U83" s="31"/>
      <c r="V83" s="168" t="s">
        <v>437</v>
      </c>
      <c r="W83" s="36" t="s">
        <v>442</v>
      </c>
      <c r="X83" s="36">
        <v>4</v>
      </c>
      <c r="Y83" s="36">
        <f t="shared" ca="1" si="45"/>
        <v>7</v>
      </c>
      <c r="Z83" s="36"/>
      <c r="AA83" s="176" t="str">
        <f t="shared" si="50"/>
        <v xml:space="preserve">Bulk 2, Slow, Impale, Mounted, Vicious, </v>
      </c>
      <c r="AB83" s="176" t="str">
        <f t="shared" si="46"/>
        <v>Bulk 2, Slow, Impale, Mounted, Vicious</v>
      </c>
      <c r="AC83" s="176">
        <f t="shared" si="47"/>
        <v>0</v>
      </c>
      <c r="AD83" s="176">
        <f t="shared" si="48"/>
        <v>0</v>
      </c>
      <c r="AG83" s="32" t="s">
        <v>779</v>
      </c>
      <c r="AH83" s="34" t="s">
        <v>789</v>
      </c>
      <c r="AI83" s="34"/>
      <c r="AJ83" s="31"/>
      <c r="AK83" s="31">
        <f>COUNTIF(qualities,AG83)</f>
        <v>0</v>
      </c>
      <c r="AL83" s="31" t="str">
        <f t="shared" si="54"/>
        <v/>
      </c>
      <c r="AM83" s="31">
        <f>N(birthright=0)</f>
        <v>1</v>
      </c>
      <c r="AN83" s="31">
        <f t="shared" si="78"/>
        <v>82</v>
      </c>
      <c r="AO83" s="35" t="s">
        <v>82</v>
      </c>
      <c r="AP83" s="134"/>
      <c r="AQ83" s="47"/>
      <c r="AR83" s="134"/>
      <c r="AS83" s="47"/>
      <c r="AT83" s="134"/>
      <c r="AU83" s="47"/>
      <c r="AV83" s="134"/>
      <c r="AW83" s="47"/>
      <c r="AX83" s="134"/>
      <c r="AY83" s="47"/>
      <c r="AZ83" s="134"/>
      <c r="BA83" s="47"/>
      <c r="BB83" s="134"/>
      <c r="BC83" s="47"/>
      <c r="BD83" s="134"/>
      <c r="BE83" s="47"/>
      <c r="BF83" s="134"/>
      <c r="BG83" s="47"/>
      <c r="BH83" s="134"/>
      <c r="BI83" s="47"/>
      <c r="BJ83" s="134"/>
      <c r="BK83" s="47"/>
      <c r="BL83" s="134"/>
      <c r="BM83" s="47"/>
      <c r="BN83" s="134"/>
      <c r="BO83" s="47"/>
      <c r="BP83" s="134"/>
      <c r="BQ83" s="47">
        <v>2</v>
      </c>
      <c r="BR83" s="134"/>
      <c r="BS83" s="47"/>
      <c r="BT83" s="134"/>
      <c r="BU83" s="47"/>
      <c r="BV83" s="134"/>
      <c r="BW83" s="47"/>
      <c r="BX83" s="134"/>
      <c r="BY83" s="47"/>
      <c r="BZ83" s="134"/>
      <c r="CA83" s="47"/>
      <c r="CB83" s="120"/>
      <c r="CC83" s="120"/>
      <c r="CD83" s="120"/>
      <c r="CE83" s="120"/>
      <c r="CF83" s="120"/>
      <c r="CG83" s="120"/>
      <c r="CH83" s="120"/>
      <c r="CI83" s="120"/>
      <c r="CJ83" s="120"/>
      <c r="CK83" s="179">
        <f t="shared" si="55"/>
        <v>82</v>
      </c>
      <c r="CL83" s="37" t="str">
        <f t="shared" ca="1" si="56"/>
        <v/>
      </c>
      <c r="CM83" s="36">
        <f t="shared" si="71"/>
        <v>82</v>
      </c>
      <c r="CN83" s="37" t="str">
        <f ca="1">IF($AN83&gt;CN$1,"",INDEX($AG$2:$AG$226,SMALL(CM$2:$CM$226,$AN83),1))</f>
        <v/>
      </c>
      <c r="CO83" s="36">
        <f t="shared" si="72"/>
        <v>82</v>
      </c>
      <c r="CP83" s="37" t="str">
        <f t="shared" ca="1" si="73"/>
        <v/>
      </c>
      <c r="CS83" s="28">
        <f t="shared" si="57"/>
        <v>82</v>
      </c>
      <c r="CT83" s="37" t="str">
        <f t="shared" ca="1" si="58"/>
        <v/>
      </c>
      <c r="CU83" s="28">
        <f t="shared" si="57"/>
        <v>82</v>
      </c>
      <c r="CV83" s="37" t="str">
        <f t="shared" ca="1" si="59"/>
        <v/>
      </c>
      <c r="CW83" s="28">
        <f t="shared" si="60"/>
        <v>82</v>
      </c>
      <c r="CX83" s="37" t="str">
        <f t="shared" ca="1" si="61"/>
        <v/>
      </c>
      <c r="CY83" s="28">
        <f t="shared" si="62"/>
        <v>82</v>
      </c>
      <c r="CZ83" s="37" t="str">
        <f t="shared" ca="1" si="61"/>
        <v/>
      </c>
      <c r="DA83" s="28">
        <f t="shared" si="63"/>
        <v>82</v>
      </c>
      <c r="DB83" s="37" t="str">
        <f t="shared" ca="1" si="64"/>
        <v/>
      </c>
      <c r="DC83" s="28">
        <f t="shared" si="65"/>
        <v>82</v>
      </c>
      <c r="DD83" s="37" t="str">
        <f t="shared" ca="1" si="66"/>
        <v/>
      </c>
      <c r="DN83" s="32">
        <v>82</v>
      </c>
      <c r="DO83" s="34" t="s">
        <v>658</v>
      </c>
      <c r="DP83" s="38">
        <f t="shared" si="81"/>
        <v>0</v>
      </c>
      <c r="DQ83" s="173" t="str">
        <f t="shared" si="74"/>
        <v>(Awar) 0</v>
      </c>
      <c r="DR83" s="36" t="str">
        <f t="shared" si="75"/>
        <v/>
      </c>
      <c r="DS83" s="37" t="str">
        <f t="shared" si="76"/>
        <v/>
      </c>
      <c r="DV83" s="176">
        <f t="shared" si="67"/>
        <v>0</v>
      </c>
      <c r="DW83" s="243">
        <f>IF(COUNTIF('Char Sheet p1'!$AP$7:$AP$35,DQ83)=0,0,ROUNDDOWN(SUMIF('Char Sheet p1'!$AP$7:$AP$35,DQ83,'Char Sheet p1'!$AQ$7:$AQ$35)/10,0))</f>
        <v>0</v>
      </c>
      <c r="DX83" s="240">
        <f t="shared" si="77"/>
        <v>0</v>
      </c>
      <c r="DY83" s="36">
        <v>4</v>
      </c>
      <c r="DZ83" s="36" t="str">
        <f t="shared" si="68"/>
        <v/>
      </c>
      <c r="EE83" s="36">
        <f t="shared" si="82"/>
        <v>3</v>
      </c>
    </row>
    <row r="84" spans="1:135">
      <c r="A84" s="138">
        <f t="shared" si="69"/>
        <v>0</v>
      </c>
      <c r="B84" s="168">
        <f t="shared" si="70"/>
        <v>0</v>
      </c>
      <c r="C84" s="32" t="s">
        <v>393</v>
      </c>
      <c r="D84" s="34" t="s">
        <v>692</v>
      </c>
      <c r="E84" s="31">
        <v>1</v>
      </c>
      <c r="F84" s="31">
        <f t="shared" ca="1" si="79"/>
        <v>-1</v>
      </c>
      <c r="G84" s="34" t="s">
        <v>412</v>
      </c>
      <c r="H84" s="168">
        <f t="shared" ca="1" si="43"/>
        <v>3</v>
      </c>
      <c r="I84" s="168" t="str">
        <f t="shared" ca="1" si="44"/>
        <v/>
      </c>
      <c r="J84" s="154"/>
      <c r="K84" s="102"/>
      <c r="L84" s="31" t="s">
        <v>454</v>
      </c>
      <c r="M84" s="31"/>
      <c r="N84" s="31"/>
      <c r="O84" s="31" t="s">
        <v>268</v>
      </c>
      <c r="P84" s="31"/>
      <c r="Q84" s="408">
        <f>COUNTIF(qualities,$AG$55)</f>
        <v>0</v>
      </c>
      <c r="R84" s="31">
        <f ca="1">powerful</f>
        <v>0</v>
      </c>
      <c r="S84" s="31"/>
      <c r="T84" s="31"/>
      <c r="U84" s="31"/>
      <c r="V84" s="168" t="s">
        <v>436</v>
      </c>
      <c r="W84" s="36" t="s">
        <v>441</v>
      </c>
      <c r="X84" s="36">
        <v>1</v>
      </c>
      <c r="Y84" s="36">
        <f t="shared" ca="1" si="45"/>
        <v>5</v>
      </c>
      <c r="Z84" s="36"/>
      <c r="AA84" s="176" t="str">
        <f t="shared" si="50"/>
        <v xml:space="preserve">LR, 2h, </v>
      </c>
      <c r="AB84" s="176" t="str">
        <f t="shared" si="46"/>
        <v>LR, 2h</v>
      </c>
      <c r="AC84" s="176">
        <f t="shared" si="47"/>
        <v>0</v>
      </c>
      <c r="AD84" s="176">
        <f t="shared" si="48"/>
        <v>0</v>
      </c>
      <c r="AG84" s="32" t="s">
        <v>780</v>
      </c>
      <c r="AH84" s="34" t="s">
        <v>789</v>
      </c>
      <c r="AI84" s="34"/>
      <c r="AJ84" s="31"/>
      <c r="AK84" s="31">
        <f>COUNTIF(qualities,AG84)</f>
        <v>0</v>
      </c>
      <c r="AL84" s="31" t="str">
        <f t="shared" si="54"/>
        <v/>
      </c>
      <c r="AM84" s="31">
        <f>N(birthright=0)</f>
        <v>1</v>
      </c>
      <c r="AN84" s="31">
        <f t="shared" si="78"/>
        <v>83</v>
      </c>
      <c r="AO84" s="35" t="s">
        <v>83</v>
      </c>
      <c r="AP84" s="134"/>
      <c r="AQ84" s="47"/>
      <c r="AR84" s="134"/>
      <c r="AS84" s="47"/>
      <c r="AT84" s="134"/>
      <c r="AU84" s="47"/>
      <c r="AV84" s="134"/>
      <c r="AW84" s="47"/>
      <c r="AX84" s="134"/>
      <c r="AY84" s="47"/>
      <c r="AZ84" s="134"/>
      <c r="BA84" s="47"/>
      <c r="BB84" s="134"/>
      <c r="BC84" s="47"/>
      <c r="BD84" s="134"/>
      <c r="BE84" s="47"/>
      <c r="BF84" s="134"/>
      <c r="BG84" s="47"/>
      <c r="BH84" s="134"/>
      <c r="BI84" s="47"/>
      <c r="BJ84" s="134"/>
      <c r="BK84" s="47"/>
      <c r="BL84" s="134"/>
      <c r="BM84" s="47"/>
      <c r="BN84" s="134"/>
      <c r="BO84" s="47"/>
      <c r="BP84" s="134"/>
      <c r="BQ84" s="47"/>
      <c r="BR84" s="134"/>
      <c r="BS84" s="47"/>
      <c r="BT84" s="134"/>
      <c r="BU84" s="47"/>
      <c r="BV84" s="134"/>
      <c r="BW84" s="47"/>
      <c r="BX84" s="134"/>
      <c r="BY84" s="47"/>
      <c r="BZ84" s="134"/>
      <c r="CA84" s="47"/>
      <c r="CB84" s="120"/>
      <c r="CC84" s="120"/>
      <c r="CD84" s="120"/>
      <c r="CE84" s="120"/>
      <c r="CF84" s="120"/>
      <c r="CG84" s="120"/>
      <c r="CH84" s="120"/>
      <c r="CI84" s="120"/>
      <c r="CJ84" s="120"/>
      <c r="CK84" s="179">
        <f t="shared" si="55"/>
        <v>83</v>
      </c>
      <c r="CL84" s="37" t="str">
        <f t="shared" ca="1" si="56"/>
        <v/>
      </c>
      <c r="CM84" s="36">
        <f t="shared" si="71"/>
        <v>83</v>
      </c>
      <c r="CN84" s="37" t="str">
        <f ca="1">IF($AN84&gt;CN$1,"",INDEX($AG$2:$AG$226,SMALL(CM$2:$CM$226,$AN84),1))</f>
        <v/>
      </c>
      <c r="CO84" s="36">
        <f t="shared" si="72"/>
        <v>83</v>
      </c>
      <c r="CP84" s="37" t="str">
        <f t="shared" ca="1" si="73"/>
        <v/>
      </c>
      <c r="CS84" s="28">
        <f t="shared" si="57"/>
        <v>83</v>
      </c>
      <c r="CT84" s="37" t="str">
        <f t="shared" ca="1" si="58"/>
        <v/>
      </c>
      <c r="CU84" s="28">
        <f t="shared" si="57"/>
        <v>83</v>
      </c>
      <c r="CV84" s="37" t="str">
        <f t="shared" ca="1" si="59"/>
        <v/>
      </c>
      <c r="CW84" s="28">
        <f t="shared" si="60"/>
        <v>83</v>
      </c>
      <c r="CX84" s="37" t="str">
        <f t="shared" ca="1" si="61"/>
        <v/>
      </c>
      <c r="CY84" s="28">
        <f t="shared" si="62"/>
        <v>83</v>
      </c>
      <c r="CZ84" s="37" t="str">
        <f t="shared" ca="1" si="61"/>
        <v/>
      </c>
      <c r="DA84" s="28">
        <f t="shared" si="63"/>
        <v>83</v>
      </c>
      <c r="DB84" s="37" t="str">
        <f t="shared" ca="1" si="64"/>
        <v/>
      </c>
      <c r="DC84" s="28">
        <f t="shared" si="65"/>
        <v>83</v>
      </c>
      <c r="DD84" s="37" t="str">
        <f t="shared" ca="1" si="66"/>
        <v/>
      </c>
      <c r="DN84" s="32">
        <v>83</v>
      </c>
      <c r="DO84" s="34" t="s">
        <v>658</v>
      </c>
      <c r="DP84" s="38">
        <f t="shared" si="81"/>
        <v>0</v>
      </c>
      <c r="DQ84" s="173" t="str">
        <f t="shared" si="74"/>
        <v>(Awar) 0</v>
      </c>
      <c r="DR84" s="36" t="str">
        <f t="shared" si="75"/>
        <v/>
      </c>
      <c r="DS84" s="37" t="str">
        <f t="shared" si="76"/>
        <v/>
      </c>
      <c r="DV84" s="176">
        <f t="shared" si="67"/>
        <v>0</v>
      </c>
      <c r="DW84" s="243">
        <f>IF(COUNTIF('Char Sheet p1'!$AP$7:$AP$35,DQ84)=0,0,ROUNDDOWN(SUMIF('Char Sheet p1'!$AP$7:$AP$35,DQ84,'Char Sheet p1'!$AQ$7:$AQ$35)/10,0))</f>
        <v>0</v>
      </c>
      <c r="DX84" s="240">
        <f t="shared" si="77"/>
        <v>0</v>
      </c>
      <c r="DY84" s="36">
        <f>DY83+1</f>
        <v>5</v>
      </c>
      <c r="DZ84" s="36" t="str">
        <f t="shared" si="68"/>
        <v/>
      </c>
      <c r="EE84" s="36">
        <f t="shared" si="82"/>
        <v>3</v>
      </c>
    </row>
    <row r="85" spans="1:135">
      <c r="A85" s="138">
        <f t="shared" si="69"/>
        <v>0</v>
      </c>
      <c r="B85" s="168">
        <f t="shared" si="70"/>
        <v>0</v>
      </c>
      <c r="C85" s="32" t="s">
        <v>394</v>
      </c>
      <c r="D85" s="34" t="s">
        <v>692</v>
      </c>
      <c r="E85" s="31"/>
      <c r="F85" s="31">
        <f t="shared" ca="1" si="79"/>
        <v>0</v>
      </c>
      <c r="G85" s="34" t="s">
        <v>412</v>
      </c>
      <c r="H85" s="168">
        <f t="shared" ca="1" si="43"/>
        <v>4</v>
      </c>
      <c r="I85" s="168" t="str">
        <f t="shared" ca="1" si="44"/>
        <v/>
      </c>
      <c r="J85" s="154"/>
      <c r="K85" s="102"/>
      <c r="L85" s="31" t="s">
        <v>454</v>
      </c>
      <c r="M85" s="31"/>
      <c r="N85" s="31"/>
      <c r="O85" s="31" t="s">
        <v>268</v>
      </c>
      <c r="P85" s="31"/>
      <c r="Q85" s="408">
        <f>COUNTIF(qualities,$AG$55)</f>
        <v>0</v>
      </c>
      <c r="R85" s="31"/>
      <c r="S85" s="31"/>
      <c r="T85" s="31"/>
      <c r="U85" s="31"/>
      <c r="V85" s="168" t="s">
        <v>436</v>
      </c>
      <c r="W85" s="36" t="s">
        <v>441</v>
      </c>
      <c r="X85" s="36"/>
      <c r="Y85" s="36">
        <f t="shared" ca="1" si="45"/>
        <v>4</v>
      </c>
      <c r="Z85" s="36"/>
      <c r="AA85" s="176" t="str">
        <f t="shared" si="50"/>
        <v xml:space="preserve">LR, 2h, </v>
      </c>
      <c r="AB85" s="176" t="str">
        <f t="shared" si="46"/>
        <v>LR, 2h</v>
      </c>
      <c r="AC85" s="176">
        <f t="shared" si="47"/>
        <v>0</v>
      </c>
      <c r="AD85" s="176">
        <f t="shared" si="48"/>
        <v>0</v>
      </c>
      <c r="AG85" s="32" t="s">
        <v>781</v>
      </c>
      <c r="AH85" s="34" t="s">
        <v>789</v>
      </c>
      <c r="AI85" s="34" t="s">
        <v>780</v>
      </c>
      <c r="AJ85" s="31"/>
      <c r="AK85" s="31"/>
      <c r="AL85" s="31" t="str">
        <f t="shared" si="54"/>
        <v/>
      </c>
      <c r="AM85" s="31">
        <f>COUNTIF(qualities,"Heir")</f>
        <v>0</v>
      </c>
      <c r="AN85" s="31">
        <f t="shared" si="78"/>
        <v>84</v>
      </c>
      <c r="AO85" s="35" t="s">
        <v>84</v>
      </c>
      <c r="AP85" s="134"/>
      <c r="AQ85" s="47"/>
      <c r="AR85" s="134"/>
      <c r="AS85" s="47"/>
      <c r="AT85" s="134"/>
      <c r="AU85" s="47"/>
      <c r="AV85" s="134"/>
      <c r="AW85" s="47"/>
      <c r="AX85" s="134"/>
      <c r="AY85" s="47"/>
      <c r="AZ85" s="134"/>
      <c r="BA85" s="47"/>
      <c r="BB85" s="134"/>
      <c r="BC85" s="47"/>
      <c r="BD85" s="134"/>
      <c r="BE85" s="47"/>
      <c r="BF85" s="134"/>
      <c r="BG85" s="47"/>
      <c r="BH85" s="134"/>
      <c r="BI85" s="47"/>
      <c r="BJ85" s="134"/>
      <c r="BK85" s="47"/>
      <c r="BL85" s="134"/>
      <c r="BM85" s="47"/>
      <c r="BN85" s="134"/>
      <c r="BO85" s="47"/>
      <c r="BP85" s="134"/>
      <c r="BQ85" s="47"/>
      <c r="BR85" s="134"/>
      <c r="BS85" s="47"/>
      <c r="BT85" s="134"/>
      <c r="BU85" s="47"/>
      <c r="BV85" s="134"/>
      <c r="BW85" s="47"/>
      <c r="BX85" s="134"/>
      <c r="BY85" s="47"/>
      <c r="BZ85" s="134"/>
      <c r="CA85" s="47"/>
      <c r="CB85" s="120"/>
      <c r="CC85" s="120"/>
      <c r="CD85" s="120"/>
      <c r="CE85" s="120"/>
      <c r="CF85" s="120"/>
      <c r="CG85" s="120"/>
      <c r="CH85" s="120"/>
      <c r="CI85" s="120"/>
      <c r="CJ85" s="120"/>
      <c r="CK85" s="179" t="str">
        <f t="shared" si="55"/>
        <v/>
      </c>
      <c r="CL85" s="37" t="str">
        <f t="shared" ca="1" si="56"/>
        <v/>
      </c>
      <c r="CM85" s="36" t="str">
        <f t="shared" si="71"/>
        <v/>
      </c>
      <c r="CN85" s="37" t="str">
        <f ca="1">IF($AN85&gt;CN$1,"",INDEX($AG$2:$AG$226,SMALL(CM$2:$CM$226,$AN85),1))</f>
        <v/>
      </c>
      <c r="CO85" s="36" t="str">
        <f t="shared" si="72"/>
        <v/>
      </c>
      <c r="CP85" s="37" t="str">
        <f t="shared" ca="1" si="73"/>
        <v/>
      </c>
      <c r="CS85" s="28" t="str">
        <f t="shared" si="57"/>
        <v/>
      </c>
      <c r="CT85" s="37" t="str">
        <f t="shared" ca="1" si="58"/>
        <v/>
      </c>
      <c r="CU85" s="28" t="str">
        <f t="shared" si="57"/>
        <v/>
      </c>
      <c r="CV85" s="37" t="str">
        <f t="shared" ca="1" si="59"/>
        <v/>
      </c>
      <c r="CW85" s="28" t="str">
        <f t="shared" si="60"/>
        <v/>
      </c>
      <c r="CX85" s="37" t="str">
        <f t="shared" ca="1" si="61"/>
        <v/>
      </c>
      <c r="CY85" s="28" t="str">
        <f t="shared" si="62"/>
        <v/>
      </c>
      <c r="CZ85" s="37" t="str">
        <f t="shared" ca="1" si="61"/>
        <v/>
      </c>
      <c r="DA85" s="28" t="str">
        <f t="shared" si="63"/>
        <v/>
      </c>
      <c r="DB85" s="37" t="str">
        <f t="shared" ca="1" si="64"/>
        <v/>
      </c>
      <c r="DC85" s="28" t="str">
        <f t="shared" si="65"/>
        <v/>
      </c>
      <c r="DD85" s="37" t="str">
        <f t="shared" ca="1" si="66"/>
        <v/>
      </c>
      <c r="DN85" s="32">
        <v>84</v>
      </c>
      <c r="DO85" s="34" t="s">
        <v>658</v>
      </c>
      <c r="DP85" s="38">
        <f t="shared" si="81"/>
        <v>0</v>
      </c>
      <c r="DQ85" s="173" t="str">
        <f t="shared" si="74"/>
        <v>(Awar) 0</v>
      </c>
      <c r="DR85" s="36" t="str">
        <f t="shared" si="75"/>
        <v/>
      </c>
      <c r="DS85" s="37" t="str">
        <f t="shared" si="76"/>
        <v/>
      </c>
      <c r="DV85" s="176">
        <f t="shared" si="67"/>
        <v>0</v>
      </c>
      <c r="DW85" s="243">
        <f>IF(COUNTIF('Char Sheet p1'!$AP$7:$AP$35,DQ85)=0,0,ROUNDDOWN(SUMIF('Char Sheet p1'!$AP$7:$AP$35,DQ85,'Char Sheet p1'!$AQ$7:$AQ$35)/10,0))</f>
        <v>0</v>
      </c>
      <c r="DX85" s="240">
        <f t="shared" si="77"/>
        <v>0</v>
      </c>
      <c r="DY85" s="36">
        <f t="shared" ref="DY85:DY105" si="83">DY84+1</f>
        <v>6</v>
      </c>
      <c r="DZ85" s="36" t="str">
        <f t="shared" si="68"/>
        <v/>
      </c>
      <c r="EE85" s="36">
        <f t="shared" si="82"/>
        <v>3</v>
      </c>
    </row>
    <row r="86" spans="1:135">
      <c r="A86" s="138">
        <f t="shared" si="69"/>
        <v>0</v>
      </c>
      <c r="B86" s="168">
        <f t="shared" si="70"/>
        <v>0</v>
      </c>
      <c r="C86" s="32" t="s">
        <v>392</v>
      </c>
      <c r="D86" s="34" t="s">
        <v>692</v>
      </c>
      <c r="E86" s="31">
        <v>1</v>
      </c>
      <c r="F86" s="31">
        <f t="shared" ca="1" si="79"/>
        <v>-1</v>
      </c>
      <c r="G86" s="34" t="s">
        <v>412</v>
      </c>
      <c r="H86" s="168">
        <f t="shared" ca="1" si="43"/>
        <v>3</v>
      </c>
      <c r="I86" s="168" t="str">
        <f t="shared" ca="1" si="44"/>
        <v/>
      </c>
      <c r="J86" s="154"/>
      <c r="K86" s="102"/>
      <c r="L86" s="31" t="s">
        <v>454</v>
      </c>
      <c r="M86" s="31"/>
      <c r="N86" s="31"/>
      <c r="O86" s="31" t="s">
        <v>268</v>
      </c>
      <c r="P86" s="31"/>
      <c r="Q86" s="408">
        <f>1+COUNTIF(qualities,$AG$55)</f>
        <v>1</v>
      </c>
      <c r="R86" s="31"/>
      <c r="S86" s="31"/>
      <c r="T86" s="31"/>
      <c r="U86" s="31" t="str">
        <f>IF(COUNTIF(qualities,"Massive")=1,"","Unwieldy")</f>
        <v>Unwieldy</v>
      </c>
      <c r="V86" s="168" t="s">
        <v>436</v>
      </c>
      <c r="W86" s="36" t="s">
        <v>441</v>
      </c>
      <c r="X86" s="36">
        <v>2</v>
      </c>
      <c r="Y86" s="36">
        <f t="shared" ca="1" si="45"/>
        <v>6</v>
      </c>
      <c r="Z86" s="36"/>
      <c r="AA86" s="176" t="str">
        <f t="shared" si="50"/>
        <v xml:space="preserve">LR, 2h, Pierce 1, Unwieldy, </v>
      </c>
      <c r="AB86" s="176" t="str">
        <f t="shared" si="46"/>
        <v>LR, 2h, Pierce 1, Unwieldy</v>
      </c>
      <c r="AC86" s="176">
        <f t="shared" si="47"/>
        <v>0</v>
      </c>
      <c r="AD86" s="176">
        <f t="shared" si="48"/>
        <v>0</v>
      </c>
      <c r="AG86" s="32" t="s">
        <v>1</v>
      </c>
      <c r="AH86" s="34" t="s">
        <v>880</v>
      </c>
      <c r="AI86" s="34" t="s">
        <v>838</v>
      </c>
      <c r="AJ86" s="31"/>
      <c r="AK86" s="31"/>
      <c r="AL86" s="31" t="str">
        <f t="shared" si="54"/>
        <v/>
      </c>
      <c r="AM86" s="31">
        <f>COUNTIF(qualities,"Armour Mastery")</f>
        <v>0</v>
      </c>
      <c r="AN86" s="31">
        <f t="shared" si="78"/>
        <v>85</v>
      </c>
      <c r="AO86" s="35" t="s">
        <v>950</v>
      </c>
      <c r="AP86" s="134"/>
      <c r="AQ86" s="47"/>
      <c r="AR86" s="134"/>
      <c r="AS86" s="47"/>
      <c r="AT86" s="134"/>
      <c r="AU86" s="47"/>
      <c r="AV86" s="134"/>
      <c r="AW86" s="47"/>
      <c r="AX86" s="134"/>
      <c r="AY86" s="47"/>
      <c r="AZ86" s="134"/>
      <c r="BA86" s="47"/>
      <c r="BB86" s="134"/>
      <c r="BC86" s="47"/>
      <c r="BD86" s="134"/>
      <c r="BE86" s="47"/>
      <c r="BF86" s="134"/>
      <c r="BG86" s="47"/>
      <c r="BH86" s="134"/>
      <c r="BI86" s="47"/>
      <c r="BJ86" s="134"/>
      <c r="BK86" s="47"/>
      <c r="BL86" s="134"/>
      <c r="BM86" s="47"/>
      <c r="BN86" s="134"/>
      <c r="BO86" s="47"/>
      <c r="BP86" s="134"/>
      <c r="BQ86" s="47"/>
      <c r="BR86" s="134"/>
      <c r="BS86" s="47"/>
      <c r="BT86" s="134"/>
      <c r="BU86" s="47"/>
      <c r="BV86" s="134"/>
      <c r="BW86" s="47"/>
      <c r="BX86" s="134"/>
      <c r="BY86" s="47"/>
      <c r="BZ86" s="134"/>
      <c r="CA86" s="47"/>
      <c r="CB86" s="120"/>
      <c r="CC86" s="120"/>
      <c r="CD86" s="120"/>
      <c r="CE86" s="120"/>
      <c r="CF86" s="120"/>
      <c r="CG86" s="120">
        <v>1</v>
      </c>
      <c r="CH86" s="120"/>
      <c r="CI86" s="120"/>
      <c r="CJ86" s="120"/>
      <c r="CK86" s="179" t="str">
        <f t="shared" si="55"/>
        <v/>
      </c>
      <c r="CL86" s="37" t="str">
        <f t="shared" ca="1" si="56"/>
        <v/>
      </c>
      <c r="CM86" s="36" t="str">
        <f t="shared" si="71"/>
        <v/>
      </c>
      <c r="CN86" s="37" t="str">
        <f ca="1">IF($AN86&gt;CN$1,"",INDEX($AG$2:$AG$226,SMALL(CM$2:$CM$226,$AN86),1))</f>
        <v/>
      </c>
      <c r="CO86" s="36" t="str">
        <f t="shared" si="72"/>
        <v/>
      </c>
      <c r="CP86" s="37" t="str">
        <f t="shared" ca="1" si="73"/>
        <v/>
      </c>
      <c r="CS86" s="28" t="str">
        <f t="shared" si="57"/>
        <v/>
      </c>
      <c r="CT86" s="37" t="str">
        <f t="shared" ca="1" si="58"/>
        <v/>
      </c>
      <c r="CU86" s="28" t="str">
        <f t="shared" si="57"/>
        <v/>
      </c>
      <c r="CV86" s="37" t="str">
        <f t="shared" ca="1" si="59"/>
        <v/>
      </c>
      <c r="CW86" s="28" t="str">
        <f t="shared" si="60"/>
        <v/>
      </c>
      <c r="CX86" s="37" t="str">
        <f t="shared" ca="1" si="61"/>
        <v/>
      </c>
      <c r="CY86" s="28" t="str">
        <f t="shared" si="62"/>
        <v/>
      </c>
      <c r="CZ86" s="37" t="str">
        <f t="shared" ca="1" si="61"/>
        <v/>
      </c>
      <c r="DA86" s="28" t="str">
        <f t="shared" si="63"/>
        <v/>
      </c>
      <c r="DB86" s="37" t="str">
        <f t="shared" ca="1" si="64"/>
        <v/>
      </c>
      <c r="DC86" s="28" t="str">
        <f t="shared" si="65"/>
        <v/>
      </c>
      <c r="DD86" s="37" t="str">
        <f t="shared" ca="1" si="66"/>
        <v/>
      </c>
      <c r="DN86" s="32">
        <v>85</v>
      </c>
      <c r="DO86" s="34" t="s">
        <v>658</v>
      </c>
      <c r="DP86" s="38">
        <f t="shared" si="81"/>
        <v>0</v>
      </c>
      <c r="DQ86" s="173" t="str">
        <f t="shared" si="74"/>
        <v>(Awar) 0</v>
      </c>
      <c r="DR86" s="36" t="str">
        <f t="shared" si="75"/>
        <v/>
      </c>
      <c r="DS86" s="37" t="str">
        <f t="shared" si="76"/>
        <v/>
      </c>
      <c r="DV86" s="176">
        <f t="shared" si="67"/>
        <v>0</v>
      </c>
      <c r="DW86" s="243">
        <f>IF(COUNTIF('Char Sheet p1'!$AP$7:$AP$35,DQ86)=0,0,ROUNDDOWN(SUMIF('Char Sheet p1'!$AP$7:$AP$35,DQ86,'Char Sheet p1'!$AQ$7:$AQ$35)/10,0))</f>
        <v>0</v>
      </c>
      <c r="DX86" s="240">
        <f t="shared" si="77"/>
        <v>0</v>
      </c>
      <c r="DY86" s="36">
        <f t="shared" si="83"/>
        <v>7</v>
      </c>
      <c r="DZ86" s="36" t="str">
        <f t="shared" si="68"/>
        <v/>
      </c>
      <c r="EE86" s="36">
        <f t="shared" si="82"/>
        <v>3</v>
      </c>
    </row>
    <row r="87" spans="1:135">
      <c r="A87" s="138">
        <f t="shared" si="69"/>
        <v>0</v>
      </c>
      <c r="B87" s="168">
        <f t="shared" si="70"/>
        <v>0</v>
      </c>
      <c r="C87" s="32" t="s">
        <v>395</v>
      </c>
      <c r="D87" s="34" t="s">
        <v>693</v>
      </c>
      <c r="E87" s="31"/>
      <c r="F87" s="31">
        <f t="shared" ca="1" si="79"/>
        <v>0</v>
      </c>
      <c r="G87" s="34" t="s">
        <v>412</v>
      </c>
      <c r="H87" s="168">
        <f t="shared" ca="1" si="43"/>
        <v>4</v>
      </c>
      <c r="I87" s="168" t="str">
        <f t="shared" ca="1" si="44"/>
        <v/>
      </c>
      <c r="J87" s="154"/>
      <c r="K87" s="102"/>
      <c r="L87" s="31" t="s">
        <v>454</v>
      </c>
      <c r="M87" s="31"/>
      <c r="N87" s="31" t="s">
        <v>426</v>
      </c>
      <c r="O87" s="31" t="str">
        <f>IF(COUNTIF(qualities,"Massive")=0,"2h","Adaptable")</f>
        <v>2h</v>
      </c>
      <c r="P87" s="31"/>
      <c r="Q87" s="408">
        <f>2+COUNTIF(qualities,$AG$55)</f>
        <v>2</v>
      </c>
      <c r="R87" s="31"/>
      <c r="S87" s="31" t="str">
        <f>IF(COUNTIF(qualities,$AG$56)=1,"L","G")</f>
        <v>G</v>
      </c>
      <c r="T87" s="31"/>
      <c r="U87" s="31"/>
      <c r="V87" s="168" t="s">
        <v>430</v>
      </c>
      <c r="W87" s="36" t="s">
        <v>441</v>
      </c>
      <c r="X87" s="36">
        <v>2</v>
      </c>
      <c r="Y87" s="36">
        <f t="shared" ca="1" si="45"/>
        <v>6</v>
      </c>
      <c r="Z87" s="36"/>
      <c r="AA87" s="176" t="str">
        <f t="shared" si="50"/>
        <v xml:space="preserve">LR, Slow, 2h, Pierce 2, Reload G, Vicious, </v>
      </c>
      <c r="AB87" s="176" t="str">
        <f t="shared" si="46"/>
        <v>LR, Slow, 2h, Pierce 2, Reload G, Vicious</v>
      </c>
      <c r="AC87" s="176">
        <f t="shared" si="47"/>
        <v>0</v>
      </c>
      <c r="AD87" s="176">
        <f t="shared" si="48"/>
        <v>0</v>
      </c>
      <c r="AF87" s="338"/>
      <c r="AG87" s="32" t="s">
        <v>466</v>
      </c>
      <c r="AH87" s="34" t="s">
        <v>880</v>
      </c>
      <c r="AI87" s="34" t="s">
        <v>862</v>
      </c>
      <c r="AJ87" s="31" t="s">
        <v>970</v>
      </c>
      <c r="AK87" s="31"/>
      <c r="AL87" s="31" t="str">
        <f t="shared" si="54"/>
        <v/>
      </c>
      <c r="AM87" s="31">
        <f>N(COUNTIF(qualities,AI87)-COUNTIF(qualities,AG87))</f>
        <v>0</v>
      </c>
      <c r="AN87" s="31">
        <f t="shared" si="78"/>
        <v>86</v>
      </c>
      <c r="AO87" s="35" t="s">
        <v>960</v>
      </c>
      <c r="AP87" s="134"/>
      <c r="AQ87" s="47"/>
      <c r="AR87" s="134"/>
      <c r="AS87" s="47"/>
      <c r="AT87" s="134"/>
      <c r="AU87" s="47"/>
      <c r="AV87" s="134"/>
      <c r="AW87" s="47"/>
      <c r="AX87" s="134"/>
      <c r="AY87" s="47"/>
      <c r="AZ87" s="134"/>
      <c r="BA87" s="47"/>
      <c r="BB87" s="134"/>
      <c r="BC87" s="47"/>
      <c r="BD87" s="134"/>
      <c r="BE87" s="47"/>
      <c r="BF87" s="134"/>
      <c r="BG87" s="47"/>
      <c r="BH87" s="134"/>
      <c r="BI87" s="47"/>
      <c r="BJ87" s="134"/>
      <c r="BK87" s="47"/>
      <c r="BL87" s="134"/>
      <c r="BM87" s="47"/>
      <c r="BN87" s="134"/>
      <c r="BO87" s="47"/>
      <c r="BP87" s="134"/>
      <c r="BQ87" s="47"/>
      <c r="BR87" s="134"/>
      <c r="BS87" s="47"/>
      <c r="BT87" s="134"/>
      <c r="BU87" s="47"/>
      <c r="BV87" s="134"/>
      <c r="BW87" s="47"/>
      <c r="BX87" s="134"/>
      <c r="BY87" s="47"/>
      <c r="BZ87" s="134"/>
      <c r="CA87" s="47"/>
      <c r="CB87" s="120"/>
      <c r="CC87" s="120"/>
      <c r="CD87" s="120"/>
      <c r="CE87" s="120"/>
      <c r="CF87" s="120"/>
      <c r="CG87" s="120"/>
      <c r="CH87" s="120"/>
      <c r="CI87" s="120"/>
      <c r="CJ87" s="120"/>
      <c r="CK87" s="179" t="str">
        <f t="shared" si="55"/>
        <v/>
      </c>
      <c r="CL87" s="37" t="str">
        <f t="shared" ca="1" si="56"/>
        <v/>
      </c>
      <c r="CM87" s="36" t="str">
        <f t="shared" si="71"/>
        <v/>
      </c>
      <c r="CN87" s="37" t="str">
        <f ca="1">IF($AN87&gt;CN$1,"",INDEX($AG$2:$AG$226,SMALL(CM$2:$CM$226,$AN87),1))</f>
        <v/>
      </c>
      <c r="CO87" s="36" t="str">
        <f t="shared" si="72"/>
        <v/>
      </c>
      <c r="CP87" s="37" t="str">
        <f t="shared" ca="1" si="73"/>
        <v/>
      </c>
      <c r="CS87" s="28" t="str">
        <f t="shared" si="57"/>
        <v/>
      </c>
      <c r="CT87" s="37" t="str">
        <f t="shared" ca="1" si="58"/>
        <v/>
      </c>
      <c r="CU87" s="28" t="str">
        <f t="shared" si="57"/>
        <v/>
      </c>
      <c r="CV87" s="37" t="str">
        <f t="shared" ca="1" si="59"/>
        <v/>
      </c>
      <c r="CW87" s="28" t="str">
        <f t="shared" si="60"/>
        <v/>
      </c>
      <c r="CX87" s="37" t="str">
        <f t="shared" ca="1" si="61"/>
        <v/>
      </c>
      <c r="CY87" s="28" t="str">
        <f t="shared" si="62"/>
        <v/>
      </c>
      <c r="CZ87" s="37" t="str">
        <f t="shared" ca="1" si="61"/>
        <v/>
      </c>
      <c r="DA87" s="28" t="str">
        <f t="shared" si="63"/>
        <v/>
      </c>
      <c r="DB87" s="37" t="str">
        <f t="shared" ca="1" si="64"/>
        <v/>
      </c>
      <c r="DC87" s="28" t="str">
        <f t="shared" si="65"/>
        <v/>
      </c>
      <c r="DD87" s="37" t="str">
        <f t="shared" ca="1" si="66"/>
        <v/>
      </c>
      <c r="DN87" s="32">
        <v>86</v>
      </c>
      <c r="DO87" s="34" t="s">
        <v>658</v>
      </c>
      <c r="DP87" s="38">
        <f t="shared" si="81"/>
        <v>0</v>
      </c>
      <c r="DQ87" s="173" t="str">
        <f t="shared" si="74"/>
        <v>(Awar) 0</v>
      </c>
      <c r="DR87" s="36" t="str">
        <f t="shared" si="75"/>
        <v/>
      </c>
      <c r="DS87" s="37" t="str">
        <f t="shared" si="76"/>
        <v/>
      </c>
      <c r="DV87" s="176">
        <f t="shared" si="67"/>
        <v>0</v>
      </c>
      <c r="DW87" s="243">
        <f>IF(COUNTIF('Char Sheet p1'!$AP$7:$AP$35,DQ87)=0,0,ROUNDDOWN(SUMIF('Char Sheet p1'!$AP$7:$AP$35,DQ87,'Char Sheet p1'!$AQ$7:$AQ$35)/10,0))</f>
        <v>0</v>
      </c>
      <c r="DX87" s="240">
        <f t="shared" si="77"/>
        <v>0</v>
      </c>
      <c r="DY87" s="36">
        <f t="shared" si="83"/>
        <v>8</v>
      </c>
      <c r="DZ87" s="36" t="str">
        <f t="shared" si="68"/>
        <v/>
      </c>
      <c r="EE87" s="36">
        <f t="shared" si="82"/>
        <v>3</v>
      </c>
    </row>
    <row r="88" spans="1:135">
      <c r="A88" s="138">
        <f t="shared" si="69"/>
        <v>0</v>
      </c>
      <c r="B88" s="168">
        <f t="shared" si="70"/>
        <v>0</v>
      </c>
      <c r="C88" s="32" t="s">
        <v>396</v>
      </c>
      <c r="D88" s="34" t="s">
        <v>693</v>
      </c>
      <c r="E88" s="31"/>
      <c r="F88" s="31">
        <f t="shared" ca="1" si="79"/>
        <v>0</v>
      </c>
      <c r="G88" s="34" t="s">
        <v>412</v>
      </c>
      <c r="H88" s="168">
        <f t="shared" ca="1" si="43"/>
        <v>4</v>
      </c>
      <c r="I88" s="168" t="str">
        <f t="shared" ca="1" si="44"/>
        <v/>
      </c>
      <c r="J88" s="154"/>
      <c r="K88" s="102"/>
      <c r="L88" s="31" t="s">
        <v>454</v>
      </c>
      <c r="M88" s="31"/>
      <c r="N88" s="31" t="s">
        <v>426</v>
      </c>
      <c r="O88" s="31" t="str">
        <f>IF(COUNTIF(qualities,"Massive")=0,"2h","Adaptable")</f>
        <v>2h</v>
      </c>
      <c r="P88" s="31"/>
      <c r="Q88" s="408">
        <f>COUNTIF(qualities,$AG$55)</f>
        <v>0</v>
      </c>
      <c r="R88" s="31"/>
      <c r="S88" s="31" t="str">
        <f>IF(COUNTIF(qualities,$AG$56)=1,"F","L")</f>
        <v>L</v>
      </c>
      <c r="T88" s="31"/>
      <c r="U88" s="31"/>
      <c r="V88" s="168" t="s">
        <v>436</v>
      </c>
      <c r="W88" s="36" t="s">
        <v>441</v>
      </c>
      <c r="X88" s="36">
        <v>1</v>
      </c>
      <c r="Y88" s="36">
        <f t="shared" ca="1" si="45"/>
        <v>5</v>
      </c>
      <c r="Z88" s="36"/>
      <c r="AA88" s="176" t="str">
        <f t="shared" si="50"/>
        <v xml:space="preserve">LR, Slow, 2h, Reload L, </v>
      </c>
      <c r="AB88" s="176" t="str">
        <f t="shared" si="46"/>
        <v>LR, Slow, 2h, Reload L</v>
      </c>
      <c r="AC88" s="176">
        <f t="shared" si="47"/>
        <v>0</v>
      </c>
      <c r="AD88" s="176">
        <f t="shared" si="48"/>
        <v>0</v>
      </c>
      <c r="AF88" s="338"/>
      <c r="AG88" s="32" t="s">
        <v>851</v>
      </c>
      <c r="AH88" s="34" t="s">
        <v>880</v>
      </c>
      <c r="AI88" s="34" t="s">
        <v>922</v>
      </c>
      <c r="AJ88" s="31"/>
      <c r="AK88" s="31"/>
      <c r="AL88" s="31" t="str">
        <f t="shared" si="54"/>
        <v/>
      </c>
      <c r="AM88" s="31">
        <f>N(warfare&gt;3)</f>
        <v>0</v>
      </c>
      <c r="AN88" s="31">
        <f t="shared" si="78"/>
        <v>87</v>
      </c>
      <c r="AO88" s="35" t="s">
        <v>85</v>
      </c>
      <c r="AP88" s="134"/>
      <c r="AQ88" s="47"/>
      <c r="AR88" s="134"/>
      <c r="AS88" s="47"/>
      <c r="AT88" s="134"/>
      <c r="AU88" s="47"/>
      <c r="AV88" s="134"/>
      <c r="AW88" s="47"/>
      <c r="AX88" s="134"/>
      <c r="AY88" s="47"/>
      <c r="AZ88" s="134"/>
      <c r="BA88" s="47"/>
      <c r="BB88" s="134"/>
      <c r="BC88" s="47"/>
      <c r="BD88" s="134"/>
      <c r="BE88" s="47"/>
      <c r="BF88" s="134"/>
      <c r="BG88" s="47"/>
      <c r="BH88" s="134"/>
      <c r="BI88" s="47"/>
      <c r="BJ88" s="134"/>
      <c r="BK88" s="47"/>
      <c r="BL88" s="134"/>
      <c r="BM88" s="47"/>
      <c r="BN88" s="134"/>
      <c r="BO88" s="47"/>
      <c r="BP88" s="134"/>
      <c r="BQ88" s="47"/>
      <c r="BR88" s="134"/>
      <c r="BS88" s="47"/>
      <c r="BT88" s="134"/>
      <c r="BU88" s="47"/>
      <c r="BV88" s="134"/>
      <c r="BW88" s="47"/>
      <c r="BX88" s="134"/>
      <c r="BY88" s="47"/>
      <c r="BZ88" s="134"/>
      <c r="CA88" s="47"/>
      <c r="CB88" s="120"/>
      <c r="CC88" s="120"/>
      <c r="CD88" s="120"/>
      <c r="CE88" s="120"/>
      <c r="CF88" s="120"/>
      <c r="CG88" s="120"/>
      <c r="CH88" s="120"/>
      <c r="CI88" s="120"/>
      <c r="CJ88" s="120"/>
      <c r="CK88" s="179" t="str">
        <f t="shared" si="55"/>
        <v/>
      </c>
      <c r="CL88" s="37" t="str">
        <f t="shared" ca="1" si="56"/>
        <v/>
      </c>
      <c r="CM88" s="36" t="str">
        <f t="shared" si="71"/>
        <v/>
      </c>
      <c r="CN88" s="37" t="str">
        <f ca="1">IF($AN88&gt;CN$1,"",INDEX($AG$2:$AG$226,SMALL(CM$2:$CM$226,$AN88),1))</f>
        <v/>
      </c>
      <c r="CO88" s="36" t="str">
        <f t="shared" si="72"/>
        <v/>
      </c>
      <c r="CP88" s="37" t="str">
        <f t="shared" ca="1" si="73"/>
        <v/>
      </c>
      <c r="CS88" s="28" t="str">
        <f t="shared" si="57"/>
        <v/>
      </c>
      <c r="CT88" s="37" t="str">
        <f t="shared" ca="1" si="58"/>
        <v/>
      </c>
      <c r="CU88" s="28" t="str">
        <f t="shared" si="57"/>
        <v/>
      </c>
      <c r="CV88" s="37" t="str">
        <f t="shared" ca="1" si="59"/>
        <v/>
      </c>
      <c r="CW88" s="28" t="str">
        <f t="shared" si="60"/>
        <v/>
      </c>
      <c r="CX88" s="37" t="str">
        <f t="shared" ca="1" si="61"/>
        <v/>
      </c>
      <c r="CY88" s="28" t="str">
        <f t="shared" si="62"/>
        <v/>
      </c>
      <c r="CZ88" s="37" t="str">
        <f t="shared" ca="1" si="61"/>
        <v/>
      </c>
      <c r="DA88" s="28" t="str">
        <f t="shared" si="63"/>
        <v/>
      </c>
      <c r="DB88" s="37" t="str">
        <f t="shared" ca="1" si="64"/>
        <v/>
      </c>
      <c r="DC88" s="28" t="str">
        <f t="shared" si="65"/>
        <v/>
      </c>
      <c r="DD88" s="37" t="str">
        <f t="shared" ca="1" si="66"/>
        <v/>
      </c>
      <c r="DN88" s="32">
        <v>87</v>
      </c>
      <c r="DO88" s="34" t="s">
        <v>658</v>
      </c>
      <c r="DP88" s="38">
        <f t="shared" si="81"/>
        <v>0</v>
      </c>
      <c r="DQ88" s="173" t="str">
        <f t="shared" si="74"/>
        <v>(Awar) 0</v>
      </c>
      <c r="DR88" s="36" t="str">
        <f t="shared" si="75"/>
        <v/>
      </c>
      <c r="DS88" s="37" t="str">
        <f t="shared" si="76"/>
        <v/>
      </c>
      <c r="DV88" s="176">
        <f t="shared" si="67"/>
        <v>0</v>
      </c>
      <c r="DW88" s="243">
        <f>IF(COUNTIF('Char Sheet p1'!$AP$7:$AP$35,DQ88)=0,0,ROUNDDOWN(SUMIF('Char Sheet p1'!$AP$7:$AP$35,DQ88,'Char Sheet p1'!$AQ$7:$AQ$35)/10,0))</f>
        <v>0</v>
      </c>
      <c r="DX88" s="240">
        <f t="shared" si="77"/>
        <v>0</v>
      </c>
      <c r="DY88" s="36">
        <f t="shared" si="83"/>
        <v>9</v>
      </c>
      <c r="DZ88" s="36" t="str">
        <f t="shared" si="68"/>
        <v/>
      </c>
      <c r="EE88" s="36">
        <f t="shared" si="82"/>
        <v>3</v>
      </c>
    </row>
    <row r="89" spans="1:135">
      <c r="A89" s="138">
        <f t="shared" si="69"/>
        <v>0</v>
      </c>
      <c r="B89" s="168">
        <f t="shared" si="70"/>
        <v>0</v>
      </c>
      <c r="C89" s="32" t="s">
        <v>397</v>
      </c>
      <c r="D89" s="34" t="s">
        <v>693</v>
      </c>
      <c r="E89" s="31"/>
      <c r="F89" s="31">
        <f t="shared" ca="1" si="79"/>
        <v>0</v>
      </c>
      <c r="G89" s="34" t="s">
        <v>412</v>
      </c>
      <c r="H89" s="168">
        <f t="shared" ca="1" si="43"/>
        <v>4</v>
      </c>
      <c r="I89" s="168" t="str">
        <f t="shared" ca="1" si="44"/>
        <v/>
      </c>
      <c r="J89" s="154"/>
      <c r="K89" s="102"/>
      <c r="L89" s="31" t="s">
        <v>454</v>
      </c>
      <c r="M89" s="31"/>
      <c r="N89" s="31" t="s">
        <v>426</v>
      </c>
      <c r="O89" s="31"/>
      <c r="P89" s="31"/>
      <c r="Q89" s="408">
        <f>1+COUNTIF(qualities,$AG$55)</f>
        <v>1</v>
      </c>
      <c r="R89" s="31"/>
      <c r="S89" s="31" t="str">
        <f>IF(COUNTIF(qualities,$AG$56)=1,"F","L")</f>
        <v>L</v>
      </c>
      <c r="T89" s="31"/>
      <c r="U89" s="31"/>
      <c r="V89" s="168" t="s">
        <v>436</v>
      </c>
      <c r="W89" s="36" t="s">
        <v>441</v>
      </c>
      <c r="X89" s="36">
        <v>1</v>
      </c>
      <c r="Y89" s="36">
        <f t="shared" ca="1" si="45"/>
        <v>5</v>
      </c>
      <c r="Z89" s="36"/>
      <c r="AA89" s="176" t="str">
        <f t="shared" si="50"/>
        <v xml:space="preserve">LR, Slow, Pierce 1, Reload L, </v>
      </c>
      <c r="AB89" s="176" t="str">
        <f t="shared" si="46"/>
        <v>LR, Slow, Pierce 1, Reload L</v>
      </c>
      <c r="AC89" s="176">
        <f t="shared" si="47"/>
        <v>0</v>
      </c>
      <c r="AD89" s="176">
        <f t="shared" si="48"/>
        <v>0</v>
      </c>
      <c r="AF89" s="338"/>
      <c r="AG89" s="32" t="s">
        <v>765</v>
      </c>
      <c r="AH89" s="34" t="s">
        <v>773</v>
      </c>
      <c r="AI89" s="34" t="s">
        <v>800</v>
      </c>
      <c r="AJ89" s="31"/>
      <c r="AK89" s="31"/>
      <c r="AL89" s="31" t="str">
        <f t="shared" si="54"/>
        <v/>
      </c>
      <c r="AM89" s="31">
        <f>N(awareness&gt;3)</f>
        <v>0</v>
      </c>
      <c r="AN89" s="31">
        <f t="shared" si="78"/>
        <v>88</v>
      </c>
      <c r="AO89" s="35" t="s">
        <v>86</v>
      </c>
      <c r="AP89" s="134"/>
      <c r="AQ89" s="47"/>
      <c r="AR89" s="134"/>
      <c r="AS89" s="47"/>
      <c r="AT89" s="134"/>
      <c r="AU89" s="47"/>
      <c r="AV89" s="134"/>
      <c r="AW89" s="47"/>
      <c r="AX89" s="134"/>
      <c r="AY89" s="47"/>
      <c r="AZ89" s="134"/>
      <c r="BA89" s="47"/>
      <c r="BB89" s="134"/>
      <c r="BC89" s="47"/>
      <c r="BD89" s="134"/>
      <c r="BE89" s="47"/>
      <c r="BF89" s="134"/>
      <c r="BG89" s="47"/>
      <c r="BH89" s="134"/>
      <c r="BI89" s="47"/>
      <c r="BJ89" s="134"/>
      <c r="BK89" s="47"/>
      <c r="BL89" s="134"/>
      <c r="BM89" s="47"/>
      <c r="BN89" s="134"/>
      <c r="BO89" s="47"/>
      <c r="BP89" s="134"/>
      <c r="BQ89" s="47"/>
      <c r="BR89" s="134"/>
      <c r="BS89" s="47"/>
      <c r="BT89" s="134"/>
      <c r="BU89" s="47"/>
      <c r="BV89" s="134"/>
      <c r="BW89" s="47"/>
      <c r="BX89" s="134"/>
      <c r="BY89" s="47"/>
      <c r="BZ89" s="134"/>
      <c r="CA89" s="47"/>
      <c r="CB89" s="120">
        <f>cunning</f>
        <v>2</v>
      </c>
      <c r="CC89" s="120"/>
      <c r="CD89" s="120"/>
      <c r="CE89" s="120"/>
      <c r="CF89" s="120"/>
      <c r="CG89" s="120"/>
      <c r="CH89" s="120"/>
      <c r="CI89" s="120"/>
      <c r="CJ89" s="120"/>
      <c r="CK89" s="179" t="str">
        <f t="shared" si="55"/>
        <v/>
      </c>
      <c r="CL89" s="37" t="str">
        <f t="shared" ca="1" si="56"/>
        <v/>
      </c>
      <c r="CM89" s="36" t="str">
        <f t="shared" si="71"/>
        <v/>
      </c>
      <c r="CN89" s="37" t="str">
        <f ca="1">IF($AN89&gt;CN$1,"",INDEX($AG$2:$AG$226,SMALL(CM$2:$CM$226,$AN89),1))</f>
        <v/>
      </c>
      <c r="CO89" s="36" t="str">
        <f t="shared" si="72"/>
        <v/>
      </c>
      <c r="CP89" s="37" t="str">
        <f t="shared" ca="1" si="73"/>
        <v/>
      </c>
      <c r="CS89" s="28" t="str">
        <f t="shared" si="57"/>
        <v/>
      </c>
      <c r="CT89" s="37" t="str">
        <f t="shared" ca="1" si="58"/>
        <v/>
      </c>
      <c r="CU89" s="28" t="str">
        <f t="shared" si="57"/>
        <v/>
      </c>
      <c r="CV89" s="37" t="str">
        <f t="shared" ca="1" si="59"/>
        <v/>
      </c>
      <c r="CW89" s="28" t="str">
        <f t="shared" si="60"/>
        <v/>
      </c>
      <c r="CX89" s="37" t="str">
        <f t="shared" ca="1" si="61"/>
        <v/>
      </c>
      <c r="CY89" s="28" t="str">
        <f t="shared" si="62"/>
        <v/>
      </c>
      <c r="CZ89" s="37" t="str">
        <f t="shared" ca="1" si="61"/>
        <v/>
      </c>
      <c r="DA89" s="28" t="str">
        <f t="shared" si="63"/>
        <v/>
      </c>
      <c r="DB89" s="37" t="str">
        <f t="shared" ca="1" si="64"/>
        <v/>
      </c>
      <c r="DC89" s="28" t="str">
        <f t="shared" si="65"/>
        <v/>
      </c>
      <c r="DD89" s="37" t="str">
        <f t="shared" ca="1" si="66"/>
        <v/>
      </c>
      <c r="DN89" s="32">
        <v>88</v>
      </c>
      <c r="DO89" s="34" t="s">
        <v>658</v>
      </c>
      <c r="DP89" s="38">
        <f t="shared" si="81"/>
        <v>0</v>
      </c>
      <c r="DQ89" s="173" t="str">
        <f t="shared" si="74"/>
        <v>(Awar) 0</v>
      </c>
      <c r="DR89" s="36" t="str">
        <f t="shared" si="75"/>
        <v/>
      </c>
      <c r="DS89" s="37" t="str">
        <f t="shared" si="76"/>
        <v/>
      </c>
      <c r="DV89" s="176">
        <f t="shared" si="67"/>
        <v>0</v>
      </c>
      <c r="DW89" s="243">
        <f>IF(COUNTIF('Char Sheet p1'!$AP$7:$AP$35,DQ89)=0,0,ROUNDDOWN(SUMIF('Char Sheet p1'!$AP$7:$AP$35,DQ89,'Char Sheet p1'!$AQ$7:$AQ$35)/10,0))</f>
        <v>0</v>
      </c>
      <c r="DX89" s="240">
        <f t="shared" si="77"/>
        <v>0</v>
      </c>
      <c r="DY89" s="36">
        <f t="shared" si="83"/>
        <v>10</v>
      </c>
      <c r="DZ89" s="36" t="str">
        <f t="shared" si="68"/>
        <v/>
      </c>
      <c r="EE89" s="36">
        <f t="shared" si="82"/>
        <v>3</v>
      </c>
    </row>
    <row r="90" spans="1:135">
      <c r="A90" s="138">
        <f t="shared" si="69"/>
        <v>0</v>
      </c>
      <c r="B90" s="168">
        <f t="shared" si="70"/>
        <v>0</v>
      </c>
      <c r="C90" s="32" t="s">
        <v>398</v>
      </c>
      <c r="D90" s="34" t="s">
        <v>693</v>
      </c>
      <c r="E90" s="31">
        <v>1</v>
      </c>
      <c r="F90" s="170">
        <f t="shared" ca="1" si="79"/>
        <v>-1</v>
      </c>
      <c r="G90" s="34" t="s">
        <v>412</v>
      </c>
      <c r="H90" s="168">
        <f t="shared" ca="1" si="43"/>
        <v>3</v>
      </c>
      <c r="I90" s="168" t="str">
        <f t="shared" ca="1" si="44"/>
        <v/>
      </c>
      <c r="J90" s="154"/>
      <c r="K90" s="102"/>
      <c r="L90" s="31" t="s">
        <v>454</v>
      </c>
      <c r="M90" s="31"/>
      <c r="N90" s="31" t="s">
        <v>848</v>
      </c>
      <c r="O90" s="31" t="str">
        <f>IF(COUNTIF(qualities,"Massive")=0,"2h","Adaptable")</f>
        <v>2h</v>
      </c>
      <c r="P90" s="31"/>
      <c r="Q90" s="408">
        <f>1+COUNTIF(qualities,$AG$55)</f>
        <v>1</v>
      </c>
      <c r="R90" s="31"/>
      <c r="S90" s="31"/>
      <c r="T90" s="31"/>
      <c r="U90" s="31"/>
      <c r="V90" s="168" t="s">
        <v>436</v>
      </c>
      <c r="W90" s="36" t="s">
        <v>441</v>
      </c>
      <c r="X90" s="36">
        <v>1</v>
      </c>
      <c r="Y90" s="36">
        <f t="shared" ca="1" si="45"/>
        <v>5</v>
      </c>
      <c r="Z90" s="36"/>
      <c r="AA90" s="176" t="str">
        <f t="shared" si="50"/>
        <v xml:space="preserve">LR, Fast, 2h, Pierce 1, </v>
      </c>
      <c r="AB90" s="176" t="str">
        <f t="shared" si="46"/>
        <v>LR, Fast, 2h, Pierce 1</v>
      </c>
      <c r="AC90" s="176">
        <f t="shared" si="47"/>
        <v>0</v>
      </c>
      <c r="AD90" s="176">
        <f t="shared" si="48"/>
        <v>0</v>
      </c>
      <c r="AF90" s="338"/>
      <c r="AG90" s="32" t="s">
        <v>766</v>
      </c>
      <c r="AH90" s="34" t="s">
        <v>773</v>
      </c>
      <c r="AI90" s="34" t="s">
        <v>801</v>
      </c>
      <c r="AJ90" s="31" t="s">
        <v>970</v>
      </c>
      <c r="AK90" s="31"/>
      <c r="AL90" s="31" t="str">
        <f t="shared" si="54"/>
        <v/>
      </c>
      <c r="AM90" s="31">
        <f>N(knowledge&gt;3)</f>
        <v>0</v>
      </c>
      <c r="AN90" s="31">
        <f t="shared" si="78"/>
        <v>89</v>
      </c>
      <c r="AO90" s="35" t="s">
        <v>88</v>
      </c>
      <c r="AP90" s="134"/>
      <c r="AQ90" s="47"/>
      <c r="AR90" s="134"/>
      <c r="AS90" s="47"/>
      <c r="AT90" s="134"/>
      <c r="AU90" s="47"/>
      <c r="AV90" s="134"/>
      <c r="AW90" s="47"/>
      <c r="AX90" s="134"/>
      <c r="AY90" s="47"/>
      <c r="AZ90" s="134"/>
      <c r="BA90" s="47"/>
      <c r="BB90" s="134"/>
      <c r="BC90" s="47"/>
      <c r="BD90" s="134"/>
      <c r="BE90" s="47"/>
      <c r="BF90" s="134"/>
      <c r="BG90" s="47"/>
      <c r="BH90" s="134"/>
      <c r="BI90" s="47"/>
      <c r="BJ90" s="134"/>
      <c r="BK90" s="47"/>
      <c r="BL90" s="134"/>
      <c r="BM90" s="47"/>
      <c r="BN90" s="134"/>
      <c r="BO90" s="47"/>
      <c r="BP90" s="134"/>
      <c r="BQ90" s="47"/>
      <c r="BR90" s="134"/>
      <c r="BS90" s="47"/>
      <c r="BT90" s="134"/>
      <c r="BU90" s="47"/>
      <c r="BV90" s="134"/>
      <c r="BW90" s="47"/>
      <c r="BX90" s="134"/>
      <c r="BY90" s="47"/>
      <c r="BZ90" s="134"/>
      <c r="CA90" s="47"/>
      <c r="CB90" s="120"/>
      <c r="CC90" s="120"/>
      <c r="CD90" s="120"/>
      <c r="CE90" s="120"/>
      <c r="CF90" s="120"/>
      <c r="CG90" s="120"/>
      <c r="CH90" s="120"/>
      <c r="CI90" s="120"/>
      <c r="CJ90" s="120"/>
      <c r="CK90" s="179" t="str">
        <f t="shared" si="55"/>
        <v/>
      </c>
      <c r="CL90" s="37" t="str">
        <f t="shared" ca="1" si="56"/>
        <v/>
      </c>
      <c r="CM90" s="36" t="str">
        <f t="shared" si="71"/>
        <v/>
      </c>
      <c r="CN90" s="37" t="str">
        <f ca="1">IF($AN90&gt;CN$1,"",INDEX($AG$2:$AG$226,SMALL(CM$2:$CM$226,$AN90),1))</f>
        <v/>
      </c>
      <c r="CO90" s="36" t="str">
        <f t="shared" si="72"/>
        <v/>
      </c>
      <c r="CP90" s="37" t="str">
        <f t="shared" ca="1" si="73"/>
        <v/>
      </c>
      <c r="CS90" s="28" t="str">
        <f t="shared" si="57"/>
        <v/>
      </c>
      <c r="CT90" s="37" t="str">
        <f t="shared" ca="1" si="58"/>
        <v/>
      </c>
      <c r="CU90" s="28" t="str">
        <f t="shared" si="57"/>
        <v/>
      </c>
      <c r="CV90" s="37" t="str">
        <f t="shared" ca="1" si="59"/>
        <v/>
      </c>
      <c r="CW90" s="28" t="str">
        <f t="shared" si="60"/>
        <v/>
      </c>
      <c r="CX90" s="37" t="str">
        <f t="shared" ca="1" si="61"/>
        <v/>
      </c>
      <c r="CY90" s="28" t="str">
        <f t="shared" si="62"/>
        <v/>
      </c>
      <c r="CZ90" s="37" t="str">
        <f t="shared" ca="1" si="61"/>
        <v/>
      </c>
      <c r="DA90" s="28" t="str">
        <f t="shared" si="63"/>
        <v/>
      </c>
      <c r="DB90" s="37" t="str">
        <f t="shared" ca="1" si="64"/>
        <v/>
      </c>
      <c r="DC90" s="28" t="str">
        <f t="shared" si="65"/>
        <v/>
      </c>
      <c r="DD90" s="37" t="str">
        <f t="shared" ca="1" si="66"/>
        <v/>
      </c>
      <c r="DN90" s="32">
        <v>89</v>
      </c>
      <c r="DO90" s="34" t="s">
        <v>658</v>
      </c>
      <c r="DP90" s="38">
        <f t="shared" si="81"/>
        <v>0</v>
      </c>
      <c r="DQ90" s="173" t="str">
        <f t="shared" si="74"/>
        <v>(Awar) 0</v>
      </c>
      <c r="DR90" s="36" t="str">
        <f t="shared" si="75"/>
        <v/>
      </c>
      <c r="DS90" s="37" t="str">
        <f t="shared" si="76"/>
        <v/>
      </c>
      <c r="DV90" s="176">
        <f t="shared" si="67"/>
        <v>0</v>
      </c>
      <c r="DW90" s="243">
        <f>IF(COUNTIF('Char Sheet p1'!$AP$7:$AP$35,DQ90)=0,0,ROUNDDOWN(SUMIF('Char Sheet p1'!$AP$7:$AP$35,DQ90,'Char Sheet p1'!$AQ$7:$AQ$35)/10,0))</f>
        <v>0</v>
      </c>
      <c r="DX90" s="240">
        <f t="shared" si="77"/>
        <v>0</v>
      </c>
      <c r="DY90" s="36">
        <f t="shared" si="83"/>
        <v>11</v>
      </c>
      <c r="DZ90" s="36" t="str">
        <f t="shared" si="68"/>
        <v/>
      </c>
      <c r="EE90" s="36">
        <f t="shared" si="82"/>
        <v>3</v>
      </c>
    </row>
    <row r="91" spans="1:135">
      <c r="A91" s="138">
        <f t="shared" si="69"/>
        <v>0</v>
      </c>
      <c r="B91" s="168">
        <f t="shared" si="70"/>
        <v>0</v>
      </c>
      <c r="C91" s="32" t="s">
        <v>399</v>
      </c>
      <c r="D91" s="34" t="s">
        <v>695</v>
      </c>
      <c r="E91" s="31">
        <v>1</v>
      </c>
      <c r="F91" s="170">
        <f t="shared" ca="1" si="79"/>
        <v>-1</v>
      </c>
      <c r="G91" s="34" t="s">
        <v>412</v>
      </c>
      <c r="H91" s="168">
        <f t="shared" ca="1" si="43"/>
        <v>3</v>
      </c>
      <c r="I91" s="168" t="str">
        <f t="shared" ca="1" si="44"/>
        <v/>
      </c>
      <c r="J91" s="154"/>
      <c r="K91" s="102"/>
      <c r="L91" s="31" t="s">
        <v>455</v>
      </c>
      <c r="M91" s="31"/>
      <c r="N91" s="406" t="str">
        <f>IF(COUNTIF(qualities,$AG$80)=1,"Fast","")</f>
        <v/>
      </c>
      <c r="O91" s="31"/>
      <c r="P91" s="31"/>
      <c r="Q91" s="31"/>
      <c r="R91" s="31"/>
      <c r="S91" s="31"/>
      <c r="T91" s="31"/>
      <c r="U91" s="31"/>
      <c r="V91" s="168" t="s">
        <v>436</v>
      </c>
      <c r="W91" s="36" t="s">
        <v>441</v>
      </c>
      <c r="X91" s="36">
        <v>1</v>
      </c>
      <c r="Y91" s="36">
        <f t="shared" ca="1" si="45"/>
        <v>5</v>
      </c>
      <c r="Z91" s="36"/>
      <c r="AA91" s="176" t="str">
        <f t="shared" si="50"/>
        <v xml:space="preserve">CR, </v>
      </c>
      <c r="AB91" s="176" t="str">
        <f t="shared" si="46"/>
        <v>CR</v>
      </c>
      <c r="AC91" s="176">
        <f t="shared" si="47"/>
        <v>0</v>
      </c>
      <c r="AD91" s="176">
        <f t="shared" si="48"/>
        <v>0</v>
      </c>
      <c r="AF91" s="338"/>
      <c r="AG91" s="32" t="s">
        <v>782</v>
      </c>
      <c r="AH91" s="34" t="s">
        <v>789</v>
      </c>
      <c r="AI91" s="34" t="s">
        <v>818</v>
      </c>
      <c r="AJ91" s="31"/>
      <c r="AK91" s="31"/>
      <c r="AL91" s="31" t="str">
        <f t="shared" si="54"/>
        <v/>
      </c>
      <c r="AM91" s="31">
        <f>COUNTIF(qualities,"Sponsor")</f>
        <v>0</v>
      </c>
      <c r="AN91" s="31">
        <f t="shared" si="78"/>
        <v>90</v>
      </c>
      <c r="AO91" s="35" t="s">
        <v>91</v>
      </c>
      <c r="AP91" s="134"/>
      <c r="AQ91" s="47"/>
      <c r="AR91" s="134"/>
      <c r="AS91" s="47"/>
      <c r="AT91" s="134"/>
      <c r="AU91" s="47"/>
      <c r="AV91" s="134"/>
      <c r="AW91" s="47"/>
      <c r="AX91" s="134"/>
      <c r="AY91" s="47"/>
      <c r="AZ91" s="134"/>
      <c r="BA91" s="47"/>
      <c r="BB91" s="134"/>
      <c r="BC91" s="47"/>
      <c r="BD91" s="134"/>
      <c r="BE91" s="47"/>
      <c r="BF91" s="134"/>
      <c r="BG91" s="47"/>
      <c r="BH91" s="134"/>
      <c r="BI91" s="47"/>
      <c r="BJ91" s="134"/>
      <c r="BK91" s="47"/>
      <c r="BL91" s="134"/>
      <c r="BM91" s="47"/>
      <c r="BN91" s="134"/>
      <c r="BO91" s="47"/>
      <c r="BP91" s="134"/>
      <c r="BQ91" s="47"/>
      <c r="BR91" s="134"/>
      <c r="BS91" s="47"/>
      <c r="BT91" s="134"/>
      <c r="BU91" s="47"/>
      <c r="BV91" s="134"/>
      <c r="BW91" s="47"/>
      <c r="BX91" s="134"/>
      <c r="BY91" s="47"/>
      <c r="BZ91" s="134"/>
      <c r="CA91" s="47"/>
      <c r="CB91" s="120"/>
      <c r="CC91" s="120"/>
      <c r="CD91" s="120"/>
      <c r="CE91" s="120"/>
      <c r="CF91" s="120"/>
      <c r="CG91" s="120"/>
      <c r="CH91" s="120"/>
      <c r="CI91" s="120"/>
      <c r="CJ91" s="120"/>
      <c r="CK91" s="179" t="str">
        <f t="shared" si="55"/>
        <v/>
      </c>
      <c r="CL91" s="37" t="str">
        <f t="shared" ca="1" si="56"/>
        <v/>
      </c>
      <c r="CM91" s="36" t="str">
        <f t="shared" si="71"/>
        <v/>
      </c>
      <c r="CN91" s="37" t="str">
        <f ca="1">IF($AN91&gt;CN$1,"",INDEX($AG$2:$AG$226,SMALL(CM$2:$CM$226,$AN91),1))</f>
        <v/>
      </c>
      <c r="CO91" s="36" t="str">
        <f t="shared" si="72"/>
        <v/>
      </c>
      <c r="CP91" s="37" t="str">
        <f t="shared" ca="1" si="73"/>
        <v/>
      </c>
      <c r="CS91" s="28" t="str">
        <f t="shared" si="57"/>
        <v/>
      </c>
      <c r="CT91" s="37" t="str">
        <f t="shared" ca="1" si="58"/>
        <v/>
      </c>
      <c r="CU91" s="28" t="str">
        <f t="shared" si="57"/>
        <v/>
      </c>
      <c r="CV91" s="37" t="str">
        <f t="shared" ca="1" si="59"/>
        <v/>
      </c>
      <c r="CW91" s="28" t="str">
        <f t="shared" si="60"/>
        <v/>
      </c>
      <c r="CX91" s="37" t="str">
        <f t="shared" ca="1" si="61"/>
        <v/>
      </c>
      <c r="CY91" s="28" t="str">
        <f t="shared" si="62"/>
        <v/>
      </c>
      <c r="CZ91" s="37" t="str">
        <f t="shared" ca="1" si="61"/>
        <v/>
      </c>
      <c r="DA91" s="28" t="str">
        <f t="shared" si="63"/>
        <v/>
      </c>
      <c r="DB91" s="37" t="str">
        <f t="shared" ca="1" si="64"/>
        <v/>
      </c>
      <c r="DC91" s="28" t="str">
        <f t="shared" si="65"/>
        <v/>
      </c>
      <c r="DD91" s="37" t="str">
        <f t="shared" ca="1" si="66"/>
        <v/>
      </c>
      <c r="DN91" s="32">
        <v>90</v>
      </c>
      <c r="DO91" s="34" t="s">
        <v>658</v>
      </c>
      <c r="DP91" s="38">
        <f t="shared" si="81"/>
        <v>0</v>
      </c>
      <c r="DQ91" s="173" t="str">
        <f t="shared" si="74"/>
        <v>(Awar) 0</v>
      </c>
      <c r="DR91" s="36" t="str">
        <f t="shared" si="75"/>
        <v/>
      </c>
      <c r="DS91" s="37" t="str">
        <f t="shared" si="76"/>
        <v/>
      </c>
      <c r="DV91" s="176">
        <f t="shared" si="67"/>
        <v>0</v>
      </c>
      <c r="DW91" s="243">
        <f>IF(COUNTIF('Char Sheet p1'!$AP$7:$AP$35,DQ91)=0,0,ROUNDDOWN(SUMIF('Char Sheet p1'!$AP$7:$AP$35,DQ91,'Char Sheet p1'!$AQ$7:$AQ$35)/10,0))</f>
        <v>0</v>
      </c>
      <c r="DX91" s="240">
        <f t="shared" si="77"/>
        <v>0</v>
      </c>
      <c r="DY91" s="36">
        <f t="shared" si="83"/>
        <v>12</v>
      </c>
      <c r="DZ91" s="36" t="str">
        <f t="shared" si="68"/>
        <v/>
      </c>
      <c r="EE91" s="36">
        <f t="shared" si="82"/>
        <v>3</v>
      </c>
    </row>
    <row r="92" spans="1:135">
      <c r="A92" s="139">
        <f t="shared" si="69"/>
        <v>0</v>
      </c>
      <c r="B92" s="169">
        <f t="shared" si="70"/>
        <v>0</v>
      </c>
      <c r="C92" s="32" t="s">
        <v>400</v>
      </c>
      <c r="D92" s="34" t="s">
        <v>695</v>
      </c>
      <c r="E92" s="31"/>
      <c r="F92" s="170">
        <f t="shared" ca="1" si="79"/>
        <v>0</v>
      </c>
      <c r="G92" s="34" t="s">
        <v>412</v>
      </c>
      <c r="H92" s="168">
        <f t="shared" ca="1" si="43"/>
        <v>4</v>
      </c>
      <c r="I92" s="168" t="str">
        <f t="shared" ca="1" si="44"/>
        <v/>
      </c>
      <c r="J92" s="154"/>
      <c r="K92" s="102"/>
      <c r="L92" s="31" t="s">
        <v>455</v>
      </c>
      <c r="M92" s="31"/>
      <c r="N92" s="31" t="str">
        <f>IF(COUNTIF(qualities,$AG$80)=1,"Fast","")</f>
        <v/>
      </c>
      <c r="O92" s="31"/>
      <c r="P92" s="31"/>
      <c r="Q92" s="31"/>
      <c r="R92" s="31"/>
      <c r="S92" s="31"/>
      <c r="T92" s="31"/>
      <c r="U92" s="31"/>
      <c r="V92" s="168" t="s">
        <v>436</v>
      </c>
      <c r="W92" s="36" t="s">
        <v>440</v>
      </c>
      <c r="X92" s="36"/>
      <c r="Y92" s="36">
        <f t="shared" ca="1" si="45"/>
        <v>4</v>
      </c>
      <c r="Z92" s="36"/>
      <c r="AA92" s="176" t="str">
        <f t="shared" si="50"/>
        <v xml:space="preserve">CR, </v>
      </c>
      <c r="AB92" s="176" t="str">
        <f t="shared" si="46"/>
        <v>CR</v>
      </c>
      <c r="AC92" s="176">
        <f t="shared" si="47"/>
        <v>0</v>
      </c>
      <c r="AD92" s="176">
        <f t="shared" si="48"/>
        <v>0</v>
      </c>
      <c r="AF92" s="338"/>
      <c r="AG92" s="32" t="s">
        <v>852</v>
      </c>
      <c r="AH92" s="34" t="s">
        <v>880</v>
      </c>
      <c r="AI92" s="34" t="s">
        <v>923</v>
      </c>
      <c r="AJ92" s="31"/>
      <c r="AK92" s="31"/>
      <c r="AL92" s="31" t="str">
        <f t="shared" si="54"/>
        <v/>
      </c>
      <c r="AM92" s="31">
        <f ca="1">N(AND(warfare&gt;3,SUMIF(warspec,"Command",warspecval)&gt;0))</f>
        <v>0</v>
      </c>
      <c r="AN92" s="31">
        <f t="shared" si="78"/>
        <v>91</v>
      </c>
      <c r="AO92" s="35" t="s">
        <v>92</v>
      </c>
      <c r="AP92" s="134"/>
      <c r="AQ92" s="47"/>
      <c r="AR92" s="134"/>
      <c r="AS92" s="47"/>
      <c r="AT92" s="134"/>
      <c r="AU92" s="47"/>
      <c r="AV92" s="134"/>
      <c r="AW92" s="47"/>
      <c r="AX92" s="134"/>
      <c r="AY92" s="47"/>
      <c r="AZ92" s="134"/>
      <c r="BA92" s="47"/>
      <c r="BB92" s="134"/>
      <c r="BC92" s="47"/>
      <c r="BD92" s="134"/>
      <c r="BE92" s="47"/>
      <c r="BF92" s="134"/>
      <c r="BG92" s="47"/>
      <c r="BH92" s="134"/>
      <c r="BI92" s="47"/>
      <c r="BJ92" s="134"/>
      <c r="BK92" s="47"/>
      <c r="BL92" s="134"/>
      <c r="BM92" s="47"/>
      <c r="BN92" s="134"/>
      <c r="BO92" s="47"/>
      <c r="BP92" s="134"/>
      <c r="BQ92" s="47"/>
      <c r="BR92" s="134"/>
      <c r="BS92" s="47"/>
      <c r="BT92" s="134"/>
      <c r="BU92" s="47"/>
      <c r="BV92" s="134"/>
      <c r="BW92" s="47"/>
      <c r="BX92" s="134"/>
      <c r="BY92" s="47"/>
      <c r="BZ92" s="134"/>
      <c r="CA92" s="47"/>
      <c r="CB92" s="120"/>
      <c r="CC92" s="120"/>
      <c r="CD92" s="120"/>
      <c r="CE92" s="120"/>
      <c r="CF92" s="120"/>
      <c r="CG92" s="120"/>
      <c r="CH92" s="120"/>
      <c r="CI92" s="120"/>
      <c r="CJ92" s="120"/>
      <c r="CK92" s="179" t="str">
        <f t="shared" ca="1" si="55"/>
        <v/>
      </c>
      <c r="CL92" s="37" t="str">
        <f t="shared" ca="1" si="56"/>
        <v/>
      </c>
      <c r="CM92" s="36" t="str">
        <f t="shared" ca="1" si="71"/>
        <v/>
      </c>
      <c r="CN92" s="37" t="str">
        <f ca="1">IF($AN92&gt;CN$1,"",INDEX($AG$2:$AG$226,SMALL(CM$2:$CM$226,$AN92),1))</f>
        <v/>
      </c>
      <c r="CO92" s="36" t="str">
        <f t="shared" ca="1" si="72"/>
        <v/>
      </c>
      <c r="CP92" s="37" t="str">
        <f t="shared" ca="1" si="73"/>
        <v/>
      </c>
      <c r="CS92" s="28" t="str">
        <f t="shared" ca="1" si="57"/>
        <v/>
      </c>
      <c r="CT92" s="37" t="str">
        <f t="shared" ca="1" si="58"/>
        <v/>
      </c>
      <c r="CU92" s="28" t="str">
        <f t="shared" ca="1" si="57"/>
        <v/>
      </c>
      <c r="CV92" s="37" t="str">
        <f t="shared" ca="1" si="59"/>
        <v/>
      </c>
      <c r="CW92" s="28" t="str">
        <f t="shared" ca="1" si="60"/>
        <v/>
      </c>
      <c r="CX92" s="37" t="str">
        <f t="shared" ca="1" si="61"/>
        <v/>
      </c>
      <c r="CY92" s="28" t="str">
        <f t="shared" ca="1" si="62"/>
        <v/>
      </c>
      <c r="CZ92" s="37" t="str">
        <f t="shared" ca="1" si="61"/>
        <v/>
      </c>
      <c r="DA92" s="28" t="str">
        <f t="shared" ca="1" si="63"/>
        <v/>
      </c>
      <c r="DB92" s="37" t="str">
        <f t="shared" ca="1" si="64"/>
        <v/>
      </c>
      <c r="DC92" s="28" t="str">
        <f t="shared" ca="1" si="65"/>
        <v/>
      </c>
      <c r="DD92" s="37" t="str">
        <f t="shared" ca="1" si="66"/>
        <v/>
      </c>
      <c r="DN92" s="32">
        <v>91</v>
      </c>
      <c r="DO92" s="34" t="s">
        <v>658</v>
      </c>
      <c r="DP92" s="38">
        <f t="shared" si="81"/>
        <v>0</v>
      </c>
      <c r="DQ92" s="173" t="str">
        <f t="shared" si="74"/>
        <v>(Awar) 0</v>
      </c>
      <c r="DR92" s="36" t="str">
        <f t="shared" si="75"/>
        <v/>
      </c>
      <c r="DS92" s="37" t="str">
        <f t="shared" si="76"/>
        <v/>
      </c>
      <c r="DV92" s="176">
        <f t="shared" si="67"/>
        <v>0</v>
      </c>
      <c r="DW92" s="243">
        <f>IF(COUNTIF('Char Sheet p1'!$AP$7:$AP$35,DQ92)=0,0,ROUNDDOWN(SUMIF('Char Sheet p1'!$AP$7:$AP$35,DQ92,'Char Sheet p1'!$AQ$7:$AQ$35)/10,0))</f>
        <v>0</v>
      </c>
      <c r="DX92" s="240">
        <f t="shared" si="77"/>
        <v>0</v>
      </c>
      <c r="DY92" s="36">
        <f t="shared" si="83"/>
        <v>13</v>
      </c>
      <c r="DZ92" s="36" t="str">
        <f t="shared" si="68"/>
        <v/>
      </c>
      <c r="EE92" s="36">
        <f t="shared" si="82"/>
        <v>3</v>
      </c>
    </row>
    <row r="93" spans="1:135">
      <c r="C93" s="32" t="s">
        <v>401</v>
      </c>
      <c r="D93" s="34" t="s">
        <v>695</v>
      </c>
      <c r="E93" s="31"/>
      <c r="F93" s="170">
        <f t="shared" ca="1" si="79"/>
        <v>0</v>
      </c>
      <c r="G93" s="34" t="s">
        <v>412</v>
      </c>
      <c r="H93" s="168">
        <f t="shared" ca="1" si="43"/>
        <v>4</v>
      </c>
      <c r="I93" s="168" t="str">
        <f t="shared" ca="1" si="44"/>
        <v/>
      </c>
      <c r="J93" s="154"/>
      <c r="K93" s="102"/>
      <c r="L93" s="31" t="s">
        <v>455</v>
      </c>
      <c r="M93" s="31"/>
      <c r="N93" s="31" t="str">
        <f>IF(COUNTIF(qualities,$AG$80)=1,"Fast","")</f>
        <v/>
      </c>
      <c r="O93" s="31"/>
      <c r="P93" s="31"/>
      <c r="Q93" s="31"/>
      <c r="R93" s="31"/>
      <c r="S93" s="31"/>
      <c r="T93" s="31"/>
      <c r="U93" s="31"/>
      <c r="V93" s="168" t="s">
        <v>436</v>
      </c>
      <c r="W93" s="36" t="s">
        <v>440</v>
      </c>
      <c r="X93" s="36"/>
      <c r="Y93" s="36">
        <f t="shared" ca="1" si="45"/>
        <v>4</v>
      </c>
      <c r="Z93" s="36"/>
      <c r="AA93" s="176" t="str">
        <f t="shared" si="50"/>
        <v xml:space="preserve">CR, </v>
      </c>
      <c r="AB93" s="176" t="str">
        <f t="shared" si="46"/>
        <v>CR</v>
      </c>
      <c r="AC93" s="176">
        <f t="shared" si="47"/>
        <v>0</v>
      </c>
      <c r="AD93" s="176">
        <f t="shared" si="48"/>
        <v>0</v>
      </c>
      <c r="AG93" s="32" t="s">
        <v>853</v>
      </c>
      <c r="AH93" s="34" t="s">
        <v>880</v>
      </c>
      <c r="AI93" s="34" t="s">
        <v>924</v>
      </c>
      <c r="AJ93" s="31"/>
      <c r="AK93" s="31"/>
      <c r="AL93" s="31" t="str">
        <f t="shared" si="54"/>
        <v/>
      </c>
      <c r="AM93" s="31">
        <f ca="1">N(AND(fighting&gt;3,SUMIF(figspec,"Long Blades",figspecval)&gt;1))</f>
        <v>0</v>
      </c>
      <c r="AN93" s="31">
        <f t="shared" si="78"/>
        <v>92</v>
      </c>
      <c r="AO93" s="35" t="s">
        <v>93</v>
      </c>
      <c r="AP93" s="134"/>
      <c r="AQ93" s="47"/>
      <c r="AR93" s="134"/>
      <c r="AS93" s="47"/>
      <c r="AT93" s="134"/>
      <c r="AU93" s="47"/>
      <c r="AV93" s="134"/>
      <c r="AW93" s="47"/>
      <c r="AX93" s="134"/>
      <c r="AY93" s="47"/>
      <c r="AZ93" s="134"/>
      <c r="BA93" s="47"/>
      <c r="BB93" s="134"/>
      <c r="BC93" s="47"/>
      <c r="BD93" s="134"/>
      <c r="BE93" s="47"/>
      <c r="BF93" s="134"/>
      <c r="BG93" s="47"/>
      <c r="BH93" s="134"/>
      <c r="BI93" s="47"/>
      <c r="BJ93" s="134"/>
      <c r="BK93" s="47"/>
      <c r="BL93" s="134"/>
      <c r="BM93" s="47"/>
      <c r="BN93" s="134"/>
      <c r="BO93" s="47"/>
      <c r="BP93" s="134"/>
      <c r="BQ93" s="47"/>
      <c r="BR93" s="134"/>
      <c r="BS93" s="47"/>
      <c r="BT93" s="134"/>
      <c r="BU93" s="47"/>
      <c r="BV93" s="134"/>
      <c r="BW93" s="47"/>
      <c r="BX93" s="134"/>
      <c r="BY93" s="47"/>
      <c r="BZ93" s="134"/>
      <c r="CA93" s="47"/>
      <c r="CB93" s="120"/>
      <c r="CC93" s="120"/>
      <c r="CD93" s="120"/>
      <c r="CE93" s="120"/>
      <c r="CF93" s="120"/>
      <c r="CG93" s="120"/>
      <c r="CH93" s="120"/>
      <c r="CI93" s="120"/>
      <c r="CJ93" s="120"/>
      <c r="CK93" s="179" t="str">
        <f t="shared" ca="1" si="55"/>
        <v/>
      </c>
      <c r="CL93" s="37" t="str">
        <f t="shared" ca="1" si="56"/>
        <v/>
      </c>
      <c r="CM93" s="36" t="str">
        <f t="shared" ca="1" si="71"/>
        <v/>
      </c>
      <c r="CN93" s="37" t="str">
        <f ca="1">IF($AN93&gt;CN$1,"",INDEX($AG$2:$AG$226,SMALL(CM$2:$CM$226,$AN93),1))</f>
        <v/>
      </c>
      <c r="CO93" s="36" t="str">
        <f t="shared" ca="1" si="72"/>
        <v/>
      </c>
      <c r="CP93" s="37" t="str">
        <f t="shared" ca="1" si="73"/>
        <v/>
      </c>
      <c r="CS93" s="28" t="str">
        <f t="shared" ca="1" si="57"/>
        <v/>
      </c>
      <c r="CT93" s="37" t="str">
        <f t="shared" ca="1" si="58"/>
        <v/>
      </c>
      <c r="CU93" s="28" t="str">
        <f t="shared" ca="1" si="57"/>
        <v/>
      </c>
      <c r="CV93" s="37" t="str">
        <f t="shared" ca="1" si="59"/>
        <v/>
      </c>
      <c r="CW93" s="28" t="str">
        <f t="shared" ca="1" si="60"/>
        <v/>
      </c>
      <c r="CX93" s="37" t="str">
        <f t="shared" ca="1" si="61"/>
        <v/>
      </c>
      <c r="CY93" s="28" t="str">
        <f t="shared" ca="1" si="62"/>
        <v/>
      </c>
      <c r="CZ93" s="37" t="str">
        <f t="shared" ca="1" si="61"/>
        <v/>
      </c>
      <c r="DA93" s="28" t="str">
        <f t="shared" ca="1" si="63"/>
        <v/>
      </c>
      <c r="DB93" s="37" t="str">
        <f t="shared" ca="1" si="64"/>
        <v/>
      </c>
      <c r="DC93" s="28" t="str">
        <f t="shared" ca="1" si="65"/>
        <v/>
      </c>
      <c r="DD93" s="37" t="str">
        <f t="shared" ca="1" si="66"/>
        <v/>
      </c>
      <c r="DN93" s="32">
        <v>92</v>
      </c>
      <c r="DO93" s="34" t="s">
        <v>658</v>
      </c>
      <c r="DP93" s="38">
        <f t="shared" si="81"/>
        <v>0</v>
      </c>
      <c r="DQ93" s="173" t="str">
        <f t="shared" si="74"/>
        <v>(Awar) 0</v>
      </c>
      <c r="DR93" s="36" t="str">
        <f t="shared" si="75"/>
        <v/>
      </c>
      <c r="DS93" s="37" t="str">
        <f t="shared" si="76"/>
        <v/>
      </c>
      <c r="DV93" s="176">
        <f t="shared" si="67"/>
        <v>0</v>
      </c>
      <c r="DW93" s="243">
        <f>IF(COUNTIF('Char Sheet p1'!$AP$7:$AP$35,DQ93)=0,0,ROUNDDOWN(SUMIF('Char Sheet p1'!$AP$7:$AP$35,DQ93,'Char Sheet p1'!$AQ$7:$AQ$35)/10,0))</f>
        <v>0</v>
      </c>
      <c r="DX93" s="240">
        <f t="shared" si="77"/>
        <v>0</v>
      </c>
      <c r="DY93" s="36">
        <f t="shared" si="83"/>
        <v>14</v>
      </c>
      <c r="DZ93" s="36" t="str">
        <f t="shared" si="68"/>
        <v/>
      </c>
      <c r="EE93" s="36">
        <f t="shared" si="82"/>
        <v>3</v>
      </c>
    </row>
    <row r="94" spans="1:135">
      <c r="C94" s="32" t="s">
        <v>402</v>
      </c>
      <c r="D94" s="34" t="s">
        <v>695</v>
      </c>
      <c r="E94" s="31"/>
      <c r="F94" s="170">
        <f t="shared" ca="1" si="79"/>
        <v>0</v>
      </c>
      <c r="G94" s="34" t="s">
        <v>412</v>
      </c>
      <c r="H94" s="168">
        <f t="shared" ca="1" si="43"/>
        <v>4</v>
      </c>
      <c r="I94" s="168" t="str">
        <f t="shared" ca="1" si="44"/>
        <v/>
      </c>
      <c r="J94" s="154"/>
      <c r="K94" s="102"/>
      <c r="L94" s="31" t="s">
        <v>455</v>
      </c>
      <c r="M94" s="31"/>
      <c r="N94" s="31" t="s">
        <v>848</v>
      </c>
      <c r="O94" s="31"/>
      <c r="P94" s="31"/>
      <c r="Q94" s="31"/>
      <c r="R94" s="31"/>
      <c r="S94" s="31"/>
      <c r="T94" s="31"/>
      <c r="U94" s="31"/>
      <c r="V94" s="168" t="s">
        <v>436</v>
      </c>
      <c r="W94" s="36" t="s">
        <v>441</v>
      </c>
      <c r="X94" s="36">
        <v>-1</v>
      </c>
      <c r="Y94" s="36">
        <f t="shared" ca="1" si="45"/>
        <v>3</v>
      </c>
      <c r="Z94" s="36"/>
      <c r="AA94" s="176" t="str">
        <f t="shared" si="50"/>
        <v xml:space="preserve">CR, Fast, </v>
      </c>
      <c r="AB94" s="176" t="str">
        <f t="shared" si="46"/>
        <v>CR, Fast</v>
      </c>
      <c r="AC94" s="176">
        <f t="shared" si="47"/>
        <v>0</v>
      </c>
      <c r="AD94" s="176">
        <f t="shared" si="48"/>
        <v>0</v>
      </c>
      <c r="AG94" s="32" t="s">
        <v>897</v>
      </c>
      <c r="AH94" s="34" t="s">
        <v>880</v>
      </c>
      <c r="AI94" s="34" t="s">
        <v>925</v>
      </c>
      <c r="AJ94" s="31"/>
      <c r="AK94" s="31"/>
      <c r="AL94" s="31" t="str">
        <f t="shared" si="54"/>
        <v/>
      </c>
      <c r="AM94" s="31">
        <f>N(AND(fighting&gt;4,COUNTIF(qualities,"Long Blade Fighter I")&gt;0))</f>
        <v>0</v>
      </c>
      <c r="AN94" s="31">
        <f t="shared" si="78"/>
        <v>93</v>
      </c>
      <c r="AO94" s="35" t="s">
        <v>94</v>
      </c>
      <c r="AP94" s="134"/>
      <c r="AQ94" s="47"/>
      <c r="AR94" s="134"/>
      <c r="AS94" s="47"/>
      <c r="AT94" s="134"/>
      <c r="AU94" s="47"/>
      <c r="AV94" s="134"/>
      <c r="AW94" s="47"/>
      <c r="AX94" s="134"/>
      <c r="AY94" s="47"/>
      <c r="AZ94" s="134"/>
      <c r="BA94" s="47"/>
      <c r="BB94" s="134"/>
      <c r="BC94" s="47"/>
      <c r="BD94" s="134"/>
      <c r="BE94" s="47"/>
      <c r="BF94" s="134"/>
      <c r="BG94" s="47"/>
      <c r="BH94" s="134"/>
      <c r="BI94" s="47"/>
      <c r="BJ94" s="134"/>
      <c r="BK94" s="47"/>
      <c r="BL94" s="134"/>
      <c r="BM94" s="47"/>
      <c r="BN94" s="134"/>
      <c r="BO94" s="47"/>
      <c r="BP94" s="134"/>
      <c r="BQ94" s="47"/>
      <c r="BR94" s="134"/>
      <c r="BS94" s="47"/>
      <c r="BT94" s="134"/>
      <c r="BU94" s="47"/>
      <c r="BV94" s="134"/>
      <c r="BW94" s="47"/>
      <c r="BX94" s="134"/>
      <c r="BY94" s="47"/>
      <c r="BZ94" s="134"/>
      <c r="CA94" s="47"/>
      <c r="CB94" s="120"/>
      <c r="CC94" s="120"/>
      <c r="CD94" s="120"/>
      <c r="CE94" s="120"/>
      <c r="CF94" s="120"/>
      <c r="CG94" s="120"/>
      <c r="CH94" s="120"/>
      <c r="CI94" s="120"/>
      <c r="CJ94" s="120"/>
      <c r="CK94" s="179" t="str">
        <f t="shared" si="55"/>
        <v/>
      </c>
      <c r="CL94" s="37" t="str">
        <f t="shared" ca="1" si="56"/>
        <v/>
      </c>
      <c r="CM94" s="36" t="str">
        <f t="shared" si="71"/>
        <v/>
      </c>
      <c r="CN94" s="37" t="str">
        <f ca="1">IF($AN94&gt;CN$1,"",INDEX($AG$2:$AG$226,SMALL(CM$2:$CM$226,$AN94),1))</f>
        <v/>
      </c>
      <c r="CO94" s="36" t="str">
        <f t="shared" si="72"/>
        <v/>
      </c>
      <c r="CP94" s="37" t="str">
        <f t="shared" ca="1" si="73"/>
        <v/>
      </c>
      <c r="CS94" s="28" t="str">
        <f t="shared" si="57"/>
        <v/>
      </c>
      <c r="CT94" s="37" t="str">
        <f t="shared" ca="1" si="58"/>
        <v/>
      </c>
      <c r="CU94" s="28" t="str">
        <f t="shared" si="57"/>
        <v/>
      </c>
      <c r="CV94" s="37" t="str">
        <f t="shared" ca="1" si="59"/>
        <v/>
      </c>
      <c r="CW94" s="28" t="str">
        <f t="shared" si="60"/>
        <v/>
      </c>
      <c r="CX94" s="37" t="str">
        <f t="shared" ca="1" si="61"/>
        <v/>
      </c>
      <c r="CY94" s="28" t="str">
        <f t="shared" si="62"/>
        <v/>
      </c>
      <c r="CZ94" s="37" t="str">
        <f t="shared" ca="1" si="61"/>
        <v/>
      </c>
      <c r="DA94" s="28" t="str">
        <f t="shared" si="63"/>
        <v/>
      </c>
      <c r="DB94" s="37" t="str">
        <f t="shared" ca="1" si="64"/>
        <v/>
      </c>
      <c r="DC94" s="28" t="str">
        <f t="shared" si="65"/>
        <v/>
      </c>
      <c r="DD94" s="37" t="str">
        <f t="shared" ca="1" si="66"/>
        <v/>
      </c>
      <c r="DN94" s="32">
        <v>93</v>
      </c>
      <c r="DO94" s="34" t="s">
        <v>658</v>
      </c>
      <c r="DP94" s="38">
        <f t="shared" si="81"/>
        <v>0</v>
      </c>
      <c r="DQ94" s="173" t="str">
        <f t="shared" si="74"/>
        <v>(Awar) 0</v>
      </c>
      <c r="DR94" s="36" t="str">
        <f t="shared" si="75"/>
        <v/>
      </c>
      <c r="DS94" s="37" t="str">
        <f t="shared" si="76"/>
        <v/>
      </c>
      <c r="DV94" s="176">
        <f t="shared" si="67"/>
        <v>0</v>
      </c>
      <c r="DW94" s="243">
        <f>IF(COUNTIF('Char Sheet p1'!$AP$7:$AP$35,DQ94)=0,0,ROUNDDOWN(SUMIF('Char Sheet p1'!$AP$7:$AP$35,DQ94,'Char Sheet p1'!$AQ$7:$AQ$35)/10,0))</f>
        <v>0</v>
      </c>
      <c r="DX94" s="240">
        <f t="shared" si="77"/>
        <v>0</v>
      </c>
      <c r="DY94" s="36">
        <f t="shared" si="83"/>
        <v>15</v>
      </c>
      <c r="DZ94" s="36" t="str">
        <f t="shared" si="68"/>
        <v/>
      </c>
      <c r="EE94" s="36">
        <f t="shared" si="82"/>
        <v>3</v>
      </c>
    </row>
    <row r="95" spans="1:135">
      <c r="C95" s="32" t="s">
        <v>403</v>
      </c>
      <c r="D95" s="34" t="s">
        <v>695</v>
      </c>
      <c r="E95" s="31">
        <v>1</v>
      </c>
      <c r="F95" s="170">
        <f t="shared" ca="1" si="79"/>
        <v>-1</v>
      </c>
      <c r="G95" s="34" t="s">
        <v>412</v>
      </c>
      <c r="H95" s="168">
        <f t="shared" ca="1" si="43"/>
        <v>3</v>
      </c>
      <c r="I95" s="168" t="str">
        <f t="shared" ca="1" si="44"/>
        <v/>
      </c>
      <c r="J95" s="154"/>
      <c r="K95" s="102"/>
      <c r="L95" s="31" t="s">
        <v>455</v>
      </c>
      <c r="M95" s="31"/>
      <c r="N95" s="31" t="str">
        <f>IF(COUNTIF(qualities,$AG$80)=1,"Fast","")</f>
        <v/>
      </c>
      <c r="O95" s="31"/>
      <c r="P95" s="31"/>
      <c r="Q95" s="31"/>
      <c r="R95" s="31"/>
      <c r="S95" s="31"/>
      <c r="T95" s="31"/>
      <c r="U95" s="31"/>
      <c r="V95" s="168" t="s">
        <v>417</v>
      </c>
      <c r="W95" s="36"/>
      <c r="X95" s="36"/>
      <c r="Y95" s="36" t="str">
        <f t="shared" ca="1" si="45"/>
        <v/>
      </c>
      <c r="Z95" s="36"/>
      <c r="AA95" s="176" t="str">
        <f t="shared" si="50"/>
        <v xml:space="preserve">CR, Entangling, </v>
      </c>
      <c r="AB95" s="176" t="str">
        <f t="shared" si="46"/>
        <v>CR, Entangling</v>
      </c>
      <c r="AC95" s="176">
        <f t="shared" si="47"/>
        <v>0</v>
      </c>
      <c r="AD95" s="176">
        <f t="shared" si="48"/>
        <v>0</v>
      </c>
      <c r="AG95" s="32" t="s">
        <v>898</v>
      </c>
      <c r="AH95" s="34" t="s">
        <v>880</v>
      </c>
      <c r="AI95" s="34" t="s">
        <v>926</v>
      </c>
      <c r="AJ95" s="31"/>
      <c r="AK95" s="31"/>
      <c r="AL95" s="31" t="str">
        <f t="shared" si="54"/>
        <v/>
      </c>
      <c r="AM95" s="31">
        <f>N(AND(fighting&gt;5,COUNTIF(qualities,"Long Blade Fighter II")&gt;0))</f>
        <v>0</v>
      </c>
      <c r="AN95" s="31">
        <f t="shared" si="78"/>
        <v>94</v>
      </c>
      <c r="AO95" s="35" t="s">
        <v>95</v>
      </c>
      <c r="AP95" s="134"/>
      <c r="AQ95" s="47"/>
      <c r="AR95" s="134"/>
      <c r="AS95" s="47"/>
      <c r="AT95" s="134"/>
      <c r="AU95" s="47"/>
      <c r="AV95" s="134"/>
      <c r="AW95" s="47"/>
      <c r="AX95" s="134"/>
      <c r="AY95" s="47"/>
      <c r="AZ95" s="134"/>
      <c r="BA95" s="47"/>
      <c r="BB95" s="134"/>
      <c r="BC95" s="47"/>
      <c r="BD95" s="134"/>
      <c r="BE95" s="47"/>
      <c r="BF95" s="134"/>
      <c r="BG95" s="47"/>
      <c r="BH95" s="134"/>
      <c r="BI95" s="47"/>
      <c r="BJ95" s="134"/>
      <c r="BK95" s="47"/>
      <c r="BL95" s="134"/>
      <c r="BM95" s="47"/>
      <c r="BN95" s="134"/>
      <c r="BO95" s="47"/>
      <c r="BP95" s="134"/>
      <c r="BQ95" s="47"/>
      <c r="BR95" s="134"/>
      <c r="BS95" s="47"/>
      <c r="BT95" s="134"/>
      <c r="BU95" s="47"/>
      <c r="BV95" s="134"/>
      <c r="BW95" s="47"/>
      <c r="BX95" s="134"/>
      <c r="BY95" s="47"/>
      <c r="BZ95" s="134"/>
      <c r="CA95" s="47"/>
      <c r="CB95" s="120"/>
      <c r="CC95" s="120"/>
      <c r="CD95" s="120"/>
      <c r="CE95" s="120"/>
      <c r="CF95" s="120"/>
      <c r="CG95" s="120"/>
      <c r="CH95" s="120"/>
      <c r="CI95" s="120"/>
      <c r="CJ95" s="120"/>
      <c r="CK95" s="179" t="str">
        <f t="shared" si="55"/>
        <v/>
      </c>
      <c r="CL95" s="37" t="str">
        <f t="shared" ca="1" si="56"/>
        <v/>
      </c>
      <c r="CM95" s="36" t="str">
        <f t="shared" si="71"/>
        <v/>
      </c>
      <c r="CN95" s="37" t="str">
        <f ca="1">IF($AN95&gt;CN$1,"",INDEX($AG$2:$AG$226,SMALL(CM$2:$CM$226,$AN95),1))</f>
        <v/>
      </c>
      <c r="CO95" s="36" t="str">
        <f t="shared" si="72"/>
        <v/>
      </c>
      <c r="CP95" s="37" t="str">
        <f t="shared" ca="1" si="73"/>
        <v/>
      </c>
      <c r="CS95" s="28" t="str">
        <f t="shared" si="57"/>
        <v/>
      </c>
      <c r="CT95" s="37" t="str">
        <f t="shared" ca="1" si="58"/>
        <v/>
      </c>
      <c r="CU95" s="28" t="str">
        <f t="shared" si="57"/>
        <v/>
      </c>
      <c r="CV95" s="37" t="str">
        <f t="shared" ca="1" si="59"/>
        <v/>
      </c>
      <c r="CW95" s="28" t="str">
        <f t="shared" si="60"/>
        <v/>
      </c>
      <c r="CX95" s="37" t="str">
        <f t="shared" ca="1" si="61"/>
        <v/>
      </c>
      <c r="CY95" s="28" t="str">
        <f t="shared" si="62"/>
        <v/>
      </c>
      <c r="CZ95" s="37" t="str">
        <f t="shared" ca="1" si="61"/>
        <v/>
      </c>
      <c r="DA95" s="28" t="str">
        <f t="shared" si="63"/>
        <v/>
      </c>
      <c r="DB95" s="37" t="str">
        <f t="shared" ca="1" si="64"/>
        <v/>
      </c>
      <c r="DC95" s="28" t="str">
        <f t="shared" si="65"/>
        <v/>
      </c>
      <c r="DD95" s="37" t="str">
        <f t="shared" ca="1" si="66"/>
        <v/>
      </c>
      <c r="DN95" s="32">
        <v>94</v>
      </c>
      <c r="DO95" s="34" t="s">
        <v>658</v>
      </c>
      <c r="DP95" s="38">
        <f t="shared" si="81"/>
        <v>0</v>
      </c>
      <c r="DQ95" s="173" t="str">
        <f t="shared" si="74"/>
        <v>(Awar) 0</v>
      </c>
      <c r="DR95" s="36" t="str">
        <f t="shared" si="75"/>
        <v/>
      </c>
      <c r="DS95" s="37" t="str">
        <f t="shared" si="76"/>
        <v/>
      </c>
      <c r="DV95" s="176">
        <f t="shared" si="67"/>
        <v>0</v>
      </c>
      <c r="DW95" s="243">
        <f>IF(COUNTIF('Char Sheet p1'!$AP$7:$AP$35,DQ95)=0,0,ROUNDDOWN(SUMIF('Char Sheet p1'!$AP$7:$AP$35,DQ95,'Char Sheet p1'!$AQ$7:$AQ$35)/10,0))</f>
        <v>0</v>
      </c>
      <c r="DX95" s="240">
        <f t="shared" si="77"/>
        <v>0</v>
      </c>
      <c r="DY95" s="36">
        <f t="shared" si="83"/>
        <v>16</v>
      </c>
      <c r="DZ95" s="36" t="str">
        <f t="shared" si="68"/>
        <v/>
      </c>
      <c r="EE95" s="36">
        <f t="shared" si="82"/>
        <v>3</v>
      </c>
    </row>
    <row r="96" spans="1:135">
      <c r="C96" s="32" t="s">
        <v>404</v>
      </c>
      <c r="D96" s="34" t="s">
        <v>695</v>
      </c>
      <c r="E96" s="31"/>
      <c r="F96" s="170">
        <f t="shared" ca="1" si="79"/>
        <v>0</v>
      </c>
      <c r="G96" s="34" t="s">
        <v>412</v>
      </c>
      <c r="H96" s="168">
        <f t="shared" ca="1" si="43"/>
        <v>4</v>
      </c>
      <c r="I96" s="168" t="str">
        <f t="shared" ca="1" si="44"/>
        <v/>
      </c>
      <c r="J96" s="154"/>
      <c r="K96" s="102"/>
      <c r="L96" s="31" t="s">
        <v>455</v>
      </c>
      <c r="M96" s="31"/>
      <c r="N96" s="31" t="str">
        <f>IF(COUNTIF(qualities,$AG$80)=1,"Fast","")</f>
        <v/>
      </c>
      <c r="O96" s="31"/>
      <c r="P96" s="31"/>
      <c r="Q96" s="31"/>
      <c r="R96" s="31"/>
      <c r="S96" s="31"/>
      <c r="T96" s="31"/>
      <c r="U96" s="31"/>
      <c r="V96" s="168" t="s">
        <v>436</v>
      </c>
      <c r="W96" s="36" t="s">
        <v>440</v>
      </c>
      <c r="X96" s="36">
        <v>-1</v>
      </c>
      <c r="Y96" s="36">
        <f t="shared" ca="1" si="45"/>
        <v>3</v>
      </c>
      <c r="Z96" s="36"/>
      <c r="AA96" s="176" t="str">
        <f t="shared" si="50"/>
        <v xml:space="preserve">CR, </v>
      </c>
      <c r="AB96" s="176" t="str">
        <f t="shared" si="46"/>
        <v>CR</v>
      </c>
      <c r="AC96" s="176">
        <f t="shared" si="47"/>
        <v>0</v>
      </c>
      <c r="AD96" s="176">
        <f t="shared" si="48"/>
        <v>0</v>
      </c>
      <c r="AG96" s="32" t="s">
        <v>783</v>
      </c>
      <c r="AH96" s="34" t="s">
        <v>789</v>
      </c>
      <c r="AI96" s="34"/>
      <c r="AJ96" s="31"/>
      <c r="AK96" s="31"/>
      <c r="AL96" s="31" t="str">
        <f t="shared" si="54"/>
        <v/>
      </c>
      <c r="AM96" s="31">
        <v>1</v>
      </c>
      <c r="AN96" s="31">
        <f t="shared" si="78"/>
        <v>95</v>
      </c>
      <c r="AO96" s="35" t="s">
        <v>96</v>
      </c>
      <c r="AP96" s="134"/>
      <c r="AQ96" s="47"/>
      <c r="AR96" s="134"/>
      <c r="AS96" s="47"/>
      <c r="AT96" s="134"/>
      <c r="AU96" s="47"/>
      <c r="AV96" s="134"/>
      <c r="AW96" s="47"/>
      <c r="AX96" s="134"/>
      <c r="AY96" s="47"/>
      <c r="AZ96" s="134"/>
      <c r="BA96" s="47"/>
      <c r="BB96" s="134"/>
      <c r="BC96" s="47"/>
      <c r="BD96" s="134"/>
      <c r="BE96" s="47"/>
      <c r="BF96" s="134"/>
      <c r="BG96" s="47"/>
      <c r="BH96" s="134"/>
      <c r="BI96" s="47"/>
      <c r="BJ96" s="134"/>
      <c r="BK96" s="47"/>
      <c r="BL96" s="134"/>
      <c r="BM96" s="47"/>
      <c r="BN96" s="134"/>
      <c r="BO96" s="47"/>
      <c r="BP96" s="134"/>
      <c r="BQ96" s="47"/>
      <c r="BR96" s="134"/>
      <c r="BS96" s="47"/>
      <c r="BT96" s="134"/>
      <c r="BU96" s="47"/>
      <c r="BV96" s="134"/>
      <c r="BW96" s="47"/>
      <c r="BX96" s="134"/>
      <c r="BY96" s="47"/>
      <c r="BZ96" s="134"/>
      <c r="CA96" s="47"/>
      <c r="CB96" s="120"/>
      <c r="CC96" s="120"/>
      <c r="CD96" s="120"/>
      <c r="CE96" s="120"/>
      <c r="CF96" s="120"/>
      <c r="CG96" s="120"/>
      <c r="CH96" s="120"/>
      <c r="CI96" s="120"/>
      <c r="CJ96" s="120"/>
      <c r="CK96" s="179">
        <f t="shared" si="55"/>
        <v>95</v>
      </c>
      <c r="CL96" s="37" t="str">
        <f t="shared" ca="1" si="56"/>
        <v/>
      </c>
      <c r="CM96" s="36">
        <f t="shared" si="71"/>
        <v>95</v>
      </c>
      <c r="CN96" s="37" t="str">
        <f ca="1">IF($AN96&gt;CN$1,"",INDEX($AG$2:$AG$226,SMALL(CM$2:$CM$226,$AN96),1))</f>
        <v/>
      </c>
      <c r="CO96" s="36">
        <f t="shared" si="72"/>
        <v>95</v>
      </c>
      <c r="CP96" s="37" t="str">
        <f t="shared" ca="1" si="73"/>
        <v/>
      </c>
      <c r="CS96" s="28">
        <f t="shared" si="57"/>
        <v>95</v>
      </c>
      <c r="CT96" s="37" t="str">
        <f t="shared" ca="1" si="58"/>
        <v/>
      </c>
      <c r="CU96" s="28">
        <f t="shared" si="57"/>
        <v>95</v>
      </c>
      <c r="CV96" s="37" t="str">
        <f t="shared" ca="1" si="59"/>
        <v/>
      </c>
      <c r="CW96" s="28">
        <f t="shared" si="60"/>
        <v>95</v>
      </c>
      <c r="CX96" s="37" t="str">
        <f t="shared" ca="1" si="61"/>
        <v/>
      </c>
      <c r="CY96" s="28">
        <f t="shared" si="62"/>
        <v>95</v>
      </c>
      <c r="CZ96" s="37" t="str">
        <f t="shared" ca="1" si="61"/>
        <v/>
      </c>
      <c r="DA96" s="28">
        <f t="shared" si="63"/>
        <v>95</v>
      </c>
      <c r="DB96" s="37" t="str">
        <f t="shared" ca="1" si="64"/>
        <v/>
      </c>
      <c r="DC96" s="28">
        <f t="shared" si="65"/>
        <v>95</v>
      </c>
      <c r="DD96" s="37" t="str">
        <f t="shared" ca="1" si="66"/>
        <v/>
      </c>
      <c r="DN96" s="32">
        <v>95</v>
      </c>
      <c r="DO96" s="34" t="s">
        <v>658</v>
      </c>
      <c r="DP96" s="38">
        <f t="shared" si="81"/>
        <v>0</v>
      </c>
      <c r="DQ96" s="173" t="str">
        <f t="shared" si="74"/>
        <v>(Awar) 0</v>
      </c>
      <c r="DR96" s="36" t="str">
        <f t="shared" si="75"/>
        <v/>
      </c>
      <c r="DS96" s="37" t="str">
        <f t="shared" si="76"/>
        <v/>
      </c>
      <c r="DV96" s="176">
        <f t="shared" si="67"/>
        <v>0</v>
      </c>
      <c r="DW96" s="243">
        <f>IF(COUNTIF('Char Sheet p1'!$AP$7:$AP$35,DQ96)=0,0,ROUNDDOWN(SUMIF('Char Sheet p1'!$AP$7:$AP$35,DQ96,'Char Sheet p1'!$AQ$7:$AQ$35)/10,0))</f>
        <v>0</v>
      </c>
      <c r="DX96" s="240">
        <f t="shared" si="77"/>
        <v>0</v>
      </c>
      <c r="DY96" s="36">
        <f t="shared" si="83"/>
        <v>17</v>
      </c>
      <c r="DZ96" s="36" t="str">
        <f t="shared" si="68"/>
        <v/>
      </c>
      <c r="EE96" s="36">
        <f t="shared" si="82"/>
        <v>3</v>
      </c>
    </row>
    <row r="97" spans="3:135">
      <c r="C97" s="32" t="s">
        <v>405</v>
      </c>
      <c r="D97" s="34" t="s">
        <v>695</v>
      </c>
      <c r="E97" s="31"/>
      <c r="F97" s="170">
        <f t="shared" ca="1" si="79"/>
        <v>0</v>
      </c>
      <c r="G97" s="34" t="s">
        <v>412</v>
      </c>
      <c r="H97" s="168">
        <f t="shared" ca="1" si="43"/>
        <v>4</v>
      </c>
      <c r="I97" s="168" t="str">
        <f t="shared" ca="1" si="44"/>
        <v/>
      </c>
      <c r="J97" s="154"/>
      <c r="K97" s="102"/>
      <c r="L97" s="31" t="s">
        <v>455</v>
      </c>
      <c r="M97" s="31"/>
      <c r="N97" s="31" t="str">
        <f>IF(COUNTIF(qualities,$AG$80)=1,"Fast","")</f>
        <v/>
      </c>
      <c r="O97" s="31"/>
      <c r="P97" s="31"/>
      <c r="Q97" s="31"/>
      <c r="R97" s="31"/>
      <c r="S97" s="31"/>
      <c r="T97" s="31"/>
      <c r="U97" s="31"/>
      <c r="V97" s="168" t="s">
        <v>436</v>
      </c>
      <c r="W97" s="36" t="s">
        <v>440</v>
      </c>
      <c r="X97" s="36"/>
      <c r="Y97" s="36">
        <f t="shared" ca="1" si="45"/>
        <v>4</v>
      </c>
      <c r="Z97" s="36"/>
      <c r="AA97" s="176" t="str">
        <f t="shared" si="50"/>
        <v xml:space="preserve">CR, </v>
      </c>
      <c r="AB97" s="176" t="str">
        <f t="shared" si="46"/>
        <v>CR</v>
      </c>
      <c r="AC97" s="176">
        <f t="shared" si="47"/>
        <v>0</v>
      </c>
      <c r="AD97" s="176">
        <f t="shared" si="48"/>
        <v>0</v>
      </c>
      <c r="AG97" s="32" t="s">
        <v>784</v>
      </c>
      <c r="AH97" s="34" t="s">
        <v>789</v>
      </c>
      <c r="AI97" s="34" t="s">
        <v>819</v>
      </c>
      <c r="AJ97" s="31"/>
      <c r="AK97" s="31">
        <f>COUNTIF(qualities,AG97)</f>
        <v>0</v>
      </c>
      <c r="AL97" s="31" t="str">
        <f t="shared" si="54"/>
        <v/>
      </c>
      <c r="AM97" s="31">
        <f>N(AND(cunning&gt;2,birthright=0,COUNTIF(qualities,"Knowledge Focus")&gt;1))</f>
        <v>0</v>
      </c>
      <c r="AN97" s="31">
        <f t="shared" si="78"/>
        <v>96</v>
      </c>
      <c r="AO97" s="35" t="s">
        <v>97</v>
      </c>
      <c r="AP97" s="134"/>
      <c r="AQ97" s="47"/>
      <c r="AR97" s="134"/>
      <c r="AS97" s="47"/>
      <c r="AT97" s="134"/>
      <c r="AU97" s="47"/>
      <c r="AV97" s="134"/>
      <c r="AW97" s="47"/>
      <c r="AX97" s="134"/>
      <c r="AY97" s="47"/>
      <c r="AZ97" s="134"/>
      <c r="BA97" s="47"/>
      <c r="BB97" s="134"/>
      <c r="BC97" s="47"/>
      <c r="BD97" s="134"/>
      <c r="BE97" s="47"/>
      <c r="BF97" s="134"/>
      <c r="BG97" s="47"/>
      <c r="BH97" s="134"/>
      <c r="BI97" s="47">
        <f>cunning</f>
        <v>2</v>
      </c>
      <c r="BJ97" s="134"/>
      <c r="BK97" s="47"/>
      <c r="BL97" s="134"/>
      <c r="BM97" s="47"/>
      <c r="BN97" s="134"/>
      <c r="BO97" s="47"/>
      <c r="BP97" s="134"/>
      <c r="BQ97" s="47"/>
      <c r="BR97" s="134"/>
      <c r="BS97" s="47"/>
      <c r="BT97" s="134"/>
      <c r="BU97" s="47"/>
      <c r="BV97" s="134"/>
      <c r="BW97" s="47"/>
      <c r="BX97" s="134"/>
      <c r="BY97" s="47"/>
      <c r="BZ97" s="134"/>
      <c r="CA97" s="47">
        <f>cunning</f>
        <v>2</v>
      </c>
      <c r="CB97" s="120"/>
      <c r="CC97" s="120"/>
      <c r="CD97" s="120"/>
      <c r="CE97" s="120"/>
      <c r="CF97" s="120"/>
      <c r="CG97" s="120"/>
      <c r="CH97" s="120"/>
      <c r="CI97" s="120"/>
      <c r="CJ97" s="120"/>
      <c r="CK97" s="179" t="str">
        <f t="shared" si="55"/>
        <v/>
      </c>
      <c r="CL97" s="37" t="str">
        <f t="shared" ca="1" si="56"/>
        <v/>
      </c>
      <c r="CM97" s="36" t="str">
        <f t="shared" si="71"/>
        <v/>
      </c>
      <c r="CN97" s="37" t="str">
        <f ca="1">IF($AN97&gt;CN$1,"",INDEX($AG$2:$AG$226,SMALL(CM$2:$CM$226,$AN97),1))</f>
        <v/>
      </c>
      <c r="CO97" s="36" t="str">
        <f t="shared" si="72"/>
        <v/>
      </c>
      <c r="CP97" s="37" t="str">
        <f t="shared" ca="1" si="73"/>
        <v/>
      </c>
      <c r="CS97" s="28" t="str">
        <f t="shared" si="57"/>
        <v/>
      </c>
      <c r="CT97" s="37" t="str">
        <f t="shared" ca="1" si="58"/>
        <v/>
      </c>
      <c r="CU97" s="28" t="str">
        <f t="shared" si="57"/>
        <v/>
      </c>
      <c r="CV97" s="37" t="str">
        <f t="shared" ca="1" si="59"/>
        <v/>
      </c>
      <c r="CW97" s="28" t="str">
        <f t="shared" si="60"/>
        <v/>
      </c>
      <c r="CX97" s="37" t="str">
        <f t="shared" ca="1" si="61"/>
        <v/>
      </c>
      <c r="CY97" s="28" t="str">
        <f t="shared" si="62"/>
        <v/>
      </c>
      <c r="CZ97" s="37" t="str">
        <f t="shared" ca="1" si="61"/>
        <v/>
      </c>
      <c r="DA97" s="28" t="str">
        <f t="shared" si="63"/>
        <v/>
      </c>
      <c r="DB97" s="37" t="str">
        <f t="shared" ca="1" si="64"/>
        <v/>
      </c>
      <c r="DC97" s="28" t="str">
        <f t="shared" si="65"/>
        <v/>
      </c>
      <c r="DD97" s="37" t="str">
        <f t="shared" ca="1" si="66"/>
        <v/>
      </c>
      <c r="DN97" s="32">
        <v>96</v>
      </c>
      <c r="DO97" s="34" t="s">
        <v>658</v>
      </c>
      <c r="DP97" s="38">
        <f t="shared" si="81"/>
        <v>0</v>
      </c>
      <c r="DQ97" s="173" t="str">
        <f t="shared" si="74"/>
        <v>(Awar) 0</v>
      </c>
      <c r="DR97" s="36" t="str">
        <f t="shared" si="75"/>
        <v/>
      </c>
      <c r="DS97" s="37" t="str">
        <f t="shared" si="76"/>
        <v/>
      </c>
      <c r="DV97" s="176">
        <f t="shared" si="67"/>
        <v>0</v>
      </c>
      <c r="DW97" s="243">
        <f>IF(COUNTIF('Char Sheet p1'!$AP$7:$AP$35,DQ97)=0,0,ROUNDDOWN(SUMIF('Char Sheet p1'!$AP$7:$AP$35,DQ97,'Char Sheet p1'!$AQ$7:$AQ$35)/10,0))</f>
        <v>0</v>
      </c>
      <c r="DX97" s="240">
        <f t="shared" si="77"/>
        <v>0</v>
      </c>
      <c r="DY97" s="36">
        <f t="shared" si="83"/>
        <v>18</v>
      </c>
      <c r="DZ97" s="36" t="str">
        <f t="shared" si="68"/>
        <v/>
      </c>
      <c r="EE97" s="36">
        <f t="shared" si="82"/>
        <v>3</v>
      </c>
    </row>
    <row r="98" spans="3:135">
      <c r="C98" s="32" t="s">
        <v>406</v>
      </c>
      <c r="D98" s="34" t="s">
        <v>695</v>
      </c>
      <c r="E98" s="31"/>
      <c r="F98" s="170">
        <f t="shared" ca="1" si="79"/>
        <v>0</v>
      </c>
      <c r="G98" s="34" t="s">
        <v>412</v>
      </c>
      <c r="H98" s="168">
        <f t="shared" ca="1" si="43"/>
        <v>4</v>
      </c>
      <c r="I98" s="168" t="str">
        <f t="shared" ca="1" si="44"/>
        <v/>
      </c>
      <c r="J98" s="154"/>
      <c r="K98" s="102"/>
      <c r="L98" s="31" t="s">
        <v>455</v>
      </c>
      <c r="M98" s="31"/>
      <c r="N98" s="31" t="str">
        <f>IF(COUNTIF(qualities,$AG$80)=1,"Fast","")</f>
        <v/>
      </c>
      <c r="O98" s="31"/>
      <c r="P98" s="31"/>
      <c r="Q98" s="31"/>
      <c r="R98" s="31"/>
      <c r="S98" s="31"/>
      <c r="T98" s="31"/>
      <c r="U98" s="31"/>
      <c r="V98" s="168" t="s">
        <v>436</v>
      </c>
      <c r="W98" s="36" t="s">
        <v>440</v>
      </c>
      <c r="X98" s="36"/>
      <c r="Y98" s="36">
        <f t="shared" ca="1" si="45"/>
        <v>4</v>
      </c>
      <c r="Z98" s="36"/>
      <c r="AA98" s="176" t="str">
        <f t="shared" si="50"/>
        <v xml:space="preserve">CR, </v>
      </c>
      <c r="AB98" s="176" t="str">
        <f t="shared" si="46"/>
        <v>CR</v>
      </c>
      <c r="AC98" s="176">
        <f t="shared" si="47"/>
        <v>0</v>
      </c>
      <c r="AD98" s="176">
        <f t="shared" si="48"/>
        <v>0</v>
      </c>
      <c r="AG98" s="32" t="s">
        <v>874</v>
      </c>
      <c r="AH98" s="34" t="s">
        <v>881</v>
      </c>
      <c r="AI98" s="34" t="s">
        <v>868</v>
      </c>
      <c r="AJ98" s="31"/>
      <c r="AK98" s="31"/>
      <c r="AL98" s="31" t="str">
        <f t="shared" ref="AL98:AL129" si="84">IF(AH98="Heritage",COUNTIF(qualities,AG98),"")</f>
        <v/>
      </c>
      <c r="AM98" s="31"/>
      <c r="AN98" s="31">
        <f t="shared" si="78"/>
        <v>97</v>
      </c>
      <c r="AO98" s="35" t="s">
        <v>331</v>
      </c>
      <c r="AP98" s="134"/>
      <c r="AQ98" s="47"/>
      <c r="AR98" s="134"/>
      <c r="AS98" s="47"/>
      <c r="AT98" s="134"/>
      <c r="AU98" s="47"/>
      <c r="AV98" s="134"/>
      <c r="AW98" s="47"/>
      <c r="AX98" s="134"/>
      <c r="AY98" s="47"/>
      <c r="AZ98" s="134"/>
      <c r="BA98" s="47"/>
      <c r="BB98" s="134"/>
      <c r="BC98" s="47"/>
      <c r="BD98" s="134"/>
      <c r="BE98" s="47"/>
      <c r="BF98" s="134"/>
      <c r="BG98" s="47"/>
      <c r="BH98" s="134"/>
      <c r="BI98" s="47"/>
      <c r="BJ98" s="134"/>
      <c r="BK98" s="47"/>
      <c r="BL98" s="134"/>
      <c r="BM98" s="47"/>
      <c r="BN98" s="134"/>
      <c r="BO98" s="47"/>
      <c r="BP98" s="134"/>
      <c r="BQ98" s="47"/>
      <c r="BR98" s="134"/>
      <c r="BS98" s="47"/>
      <c r="BT98" s="134"/>
      <c r="BU98" s="47"/>
      <c r="BV98" s="134"/>
      <c r="BW98" s="47"/>
      <c r="BX98" s="134"/>
      <c r="BY98" s="47"/>
      <c r="BZ98" s="134"/>
      <c r="CA98" s="47"/>
      <c r="CB98" s="120"/>
      <c r="CC98" s="120"/>
      <c r="CD98" s="120"/>
      <c r="CE98" s="120"/>
      <c r="CF98" s="120"/>
      <c r="CG98" s="120"/>
      <c r="CH98" s="120"/>
      <c r="CI98" s="120"/>
      <c r="CJ98" s="120"/>
      <c r="CK98" s="179" t="str">
        <f t="shared" si="55"/>
        <v/>
      </c>
      <c r="CL98" s="37" t="str">
        <f t="shared" ref="CL98:CL129" ca="1" si="85">IF(AN98&gt;$CL$1,"",INDEX($AG$2:$AG$226,SMALL($CK$2:$CK$226,AN98),1))</f>
        <v/>
      </c>
      <c r="CM98" s="36" t="str">
        <f t="shared" si="71"/>
        <v/>
      </c>
      <c r="CN98" s="37" t="str">
        <f ca="1">IF($AN98&gt;CN$1,"",INDEX($AG$2:$AG$226,SMALL(CM$2:$CM$226,$AN98),1))</f>
        <v/>
      </c>
      <c r="CO98" s="36" t="str">
        <f t="shared" si="72"/>
        <v/>
      </c>
      <c r="CP98" s="37" t="str">
        <f t="shared" ca="1" si="73"/>
        <v/>
      </c>
      <c r="CS98" s="28" t="str">
        <f t="shared" si="57"/>
        <v/>
      </c>
      <c r="CT98" s="37" t="str">
        <f t="shared" ref="CT98:CT129" ca="1" si="86">IF($AN98&gt;CT$1,"",INDEX($AG$2:$AG$226,SMALL(CS$2:CS$226,$AN98),1))</f>
        <v/>
      </c>
      <c r="CU98" s="28" t="str">
        <f t="shared" si="57"/>
        <v/>
      </c>
      <c r="CV98" s="37" t="str">
        <f t="shared" ref="CV98:CV129" ca="1" si="87">IF($AN98&gt;CV$1,"",INDEX($AG$2:$AG$226,SMALL(CU$2:CU$226,$AN98),1))</f>
        <v/>
      </c>
      <c r="CW98" s="28" t="str">
        <f t="shared" si="60"/>
        <v/>
      </c>
      <c r="CX98" s="37" t="str">
        <f t="shared" ref="CX98:CZ129" ca="1" si="88">IF($AN98&gt;CX$1,"",INDEX($AG$2:$AG$226,SMALL(CW$2:CW$226,$AN98),1))</f>
        <v/>
      </c>
      <c r="CY98" s="28" t="str">
        <f t="shared" si="62"/>
        <v/>
      </c>
      <c r="CZ98" s="37" t="str">
        <f t="shared" ca="1" si="88"/>
        <v/>
      </c>
      <c r="DA98" s="28" t="str">
        <f t="shared" si="63"/>
        <v/>
      </c>
      <c r="DB98" s="37" t="str">
        <f t="shared" ref="DB98:DB129" ca="1" si="89">IF($AN98&gt;DB$1,"",INDEX($AG$2:$AG$226,SMALL(DA$2:DA$226,$AN98),1))</f>
        <v/>
      </c>
      <c r="DC98" s="28" t="str">
        <f t="shared" si="65"/>
        <v/>
      </c>
      <c r="DD98" s="37" t="str">
        <f t="shared" ref="DD98:DD129" ca="1" si="90">IF($AN98&gt;DD$1,"",INDEX($AG$2:$AG$226,SMALL(DC$2:DC$226,$AN98),1))</f>
        <v/>
      </c>
      <c r="DN98" s="32">
        <v>97</v>
      </c>
      <c r="DO98" s="34" t="s">
        <v>658</v>
      </c>
      <c r="DP98" s="38">
        <f t="shared" si="81"/>
        <v>0</v>
      </c>
      <c r="DQ98" s="173" t="str">
        <f t="shared" si="74"/>
        <v>(Awar) 0</v>
      </c>
      <c r="DR98" s="36" t="str">
        <f t="shared" si="75"/>
        <v/>
      </c>
      <c r="DS98" s="37" t="str">
        <f t="shared" si="76"/>
        <v/>
      </c>
      <c r="DV98" s="176">
        <f t="shared" si="67"/>
        <v>0</v>
      </c>
      <c r="DW98" s="243">
        <f>IF(COUNTIF('Char Sheet p1'!$AP$7:$AP$35,DQ98)=0,0,ROUNDDOWN(SUMIF('Char Sheet p1'!$AP$7:$AP$35,DQ98,'Char Sheet p1'!$AQ$7:$AQ$35)/10,0))</f>
        <v>0</v>
      </c>
      <c r="DX98" s="240">
        <f t="shared" si="77"/>
        <v>0</v>
      </c>
      <c r="DY98" s="36">
        <f t="shared" si="83"/>
        <v>19</v>
      </c>
      <c r="DZ98" s="36" t="str">
        <f t="shared" si="68"/>
        <v/>
      </c>
      <c r="EE98" s="36">
        <f t="shared" si="82"/>
        <v>3</v>
      </c>
    </row>
    <row r="99" spans="3:135">
      <c r="C99" s="368" t="s">
        <v>733</v>
      </c>
      <c r="D99" s="369"/>
      <c r="E99" s="370"/>
      <c r="F99" s="371" t="str">
        <f t="shared" si="79"/>
        <v/>
      </c>
      <c r="G99" s="372"/>
      <c r="H99" s="373" t="s">
        <v>515</v>
      </c>
      <c r="I99" s="372" t="str">
        <f t="shared" si="44"/>
        <v>+B</v>
      </c>
      <c r="J99" s="374"/>
      <c r="K99" s="375"/>
      <c r="L99" s="373"/>
      <c r="M99" s="373"/>
      <c r="N99" s="373"/>
      <c r="O99" s="373"/>
      <c r="P99" s="373"/>
      <c r="Q99" s="373"/>
      <c r="R99" s="373"/>
      <c r="S99" s="373"/>
      <c r="T99" s="373"/>
      <c r="U99" s="376" t="s">
        <v>436</v>
      </c>
      <c r="V99" s="377"/>
      <c r="W99" s="377"/>
      <c r="X99" s="377" t="str">
        <f t="shared" ref="X99:X114" ca="1" si="91">IF(V99="","",Z99+Q99+AA99+AC99+MAX(INDIRECT(V99)+W99,1))</f>
        <v/>
      </c>
      <c r="Y99" s="377" t="s">
        <v>515</v>
      </c>
      <c r="Z99" s="378"/>
      <c r="AA99" s="378" t="str">
        <f>IF(K99=0,"","Bulk "&amp;K99&amp;", ")&amp;IF(L99="","",L99&amp;", ")&amp;IF(M99=0,"","Def+"&amp;M99&amp;", ")&amp;IF(N99="","",N99&amp;", ")&amp;IF(O99="","",O99&amp;", ")&amp;IF(P99=0,"","Off-hand+"&amp;P99&amp;", ")&amp;IF(Q99=0,"","Pierce "&amp;Q99&amp;", ")&amp;IF(S99="","","Reload "&amp;S99&amp;", ")&amp;IF(T99=0,"","Shatter "&amp;T99&amp;", ")&amp;IF(U99="","",U99&amp;", ")&amp;IF(V99="","",V99&amp;", ")</f>
        <v/>
      </c>
      <c r="AB99" s="378"/>
      <c r="AC99" s="378">
        <f t="shared" si="47"/>
        <v>0</v>
      </c>
      <c r="AD99" s="378">
        <f t="shared" si="48"/>
        <v>0</v>
      </c>
      <c r="AG99" s="32" t="s">
        <v>786</v>
      </c>
      <c r="AH99" s="34" t="s">
        <v>789</v>
      </c>
      <c r="AI99" s="34" t="s">
        <v>818</v>
      </c>
      <c r="AJ99" s="31"/>
      <c r="AK99" s="31">
        <f>COUNTIF(qualities,AG99)</f>
        <v>0</v>
      </c>
      <c r="AL99" s="31" t="str">
        <f t="shared" si="84"/>
        <v/>
      </c>
      <c r="AM99" s="31">
        <f>N(AND(birthright=0,COUNTIF(qualities,"Sponsor")))</f>
        <v>0</v>
      </c>
      <c r="AN99" s="31">
        <f t="shared" si="78"/>
        <v>98</v>
      </c>
      <c r="AO99" s="35" t="s">
        <v>98</v>
      </c>
      <c r="AP99" s="134"/>
      <c r="AQ99" s="47"/>
      <c r="AR99" s="134"/>
      <c r="AS99" s="47"/>
      <c r="AT99" s="134"/>
      <c r="AU99" s="47"/>
      <c r="AV99" s="134"/>
      <c r="AW99" s="47"/>
      <c r="AX99" s="134"/>
      <c r="AY99" s="47"/>
      <c r="AZ99" s="134"/>
      <c r="BA99" s="47"/>
      <c r="BB99" s="134"/>
      <c r="BC99" s="47"/>
      <c r="BD99" s="134"/>
      <c r="BE99" s="47"/>
      <c r="BF99" s="134"/>
      <c r="BG99" s="47"/>
      <c r="BH99" s="134"/>
      <c r="BI99" s="47"/>
      <c r="BJ99" s="134"/>
      <c r="BK99" s="47"/>
      <c r="BL99" s="134"/>
      <c r="BM99" s="47"/>
      <c r="BN99" s="134"/>
      <c r="BO99" s="47"/>
      <c r="BP99" s="134">
        <f>5-status</f>
        <v>4</v>
      </c>
      <c r="BQ99" s="47"/>
      <c r="BR99" s="134"/>
      <c r="BS99" s="47"/>
      <c r="BT99" s="134"/>
      <c r="BU99" s="47"/>
      <c r="BV99" s="134"/>
      <c r="BW99" s="47"/>
      <c r="BX99" s="134"/>
      <c r="BY99" s="47"/>
      <c r="BZ99" s="134"/>
      <c r="CA99" s="47"/>
      <c r="CB99" s="120"/>
      <c r="CC99" s="120"/>
      <c r="CD99" s="120">
        <f>BP99</f>
        <v>4</v>
      </c>
      <c r="CE99" s="120"/>
      <c r="CF99" s="120"/>
      <c r="CG99" s="120"/>
      <c r="CH99" s="120"/>
      <c r="CI99" s="120"/>
      <c r="CJ99" s="120"/>
      <c r="CK99" s="179" t="str">
        <f t="shared" si="55"/>
        <v/>
      </c>
      <c r="CL99" s="37" t="str">
        <f t="shared" ca="1" si="85"/>
        <v/>
      </c>
      <c r="CM99" s="36" t="str">
        <f t="shared" si="71"/>
        <v/>
      </c>
      <c r="CN99" s="37" t="str">
        <f ca="1">IF($AN99&gt;CN$1,"",INDEX($AG$2:$AG$226,SMALL(CM$2:$CM$226,$AN99),1))</f>
        <v/>
      </c>
      <c r="CO99" s="36" t="str">
        <f t="shared" si="72"/>
        <v/>
      </c>
      <c r="CP99" s="37" t="str">
        <f t="shared" ca="1" si="73"/>
        <v/>
      </c>
      <c r="CS99" s="28" t="str">
        <f t="shared" si="57"/>
        <v/>
      </c>
      <c r="CT99" s="37" t="str">
        <f t="shared" ca="1" si="86"/>
        <v/>
      </c>
      <c r="CU99" s="28" t="str">
        <f t="shared" si="57"/>
        <v/>
      </c>
      <c r="CV99" s="37" t="str">
        <f t="shared" ca="1" si="87"/>
        <v/>
      </c>
      <c r="CW99" s="28" t="str">
        <f t="shared" si="60"/>
        <v/>
      </c>
      <c r="CX99" s="37" t="str">
        <f t="shared" ca="1" si="88"/>
        <v/>
      </c>
      <c r="CY99" s="28" t="str">
        <f t="shared" si="62"/>
        <v/>
      </c>
      <c r="CZ99" s="37" t="str">
        <f t="shared" ca="1" si="88"/>
        <v/>
      </c>
      <c r="DA99" s="28" t="str">
        <f t="shared" si="63"/>
        <v/>
      </c>
      <c r="DB99" s="37" t="str">
        <f t="shared" ca="1" si="89"/>
        <v/>
      </c>
      <c r="DC99" s="28" t="str">
        <f t="shared" si="65"/>
        <v/>
      </c>
      <c r="DD99" s="37" t="str">
        <f t="shared" ca="1" si="90"/>
        <v/>
      </c>
      <c r="DN99" s="32">
        <v>98</v>
      </c>
      <c r="DO99" s="34" t="s">
        <v>658</v>
      </c>
      <c r="DP99" s="38">
        <f t="shared" si="81"/>
        <v>0</v>
      </c>
      <c r="DQ99" s="173" t="str">
        <f t="shared" si="74"/>
        <v>(Awar) 0</v>
      </c>
      <c r="DR99" s="36" t="str">
        <f t="shared" si="75"/>
        <v/>
      </c>
      <c r="DS99" s="37" t="str">
        <f t="shared" si="76"/>
        <v/>
      </c>
      <c r="DV99" s="176">
        <f t="shared" si="67"/>
        <v>0</v>
      </c>
      <c r="DW99" s="243">
        <f>IF(COUNTIF('Char Sheet p1'!$AP$7:$AP$35,DQ99)=0,0,ROUNDDOWN(SUMIF('Char Sheet p1'!$AP$7:$AP$35,DQ99,'Char Sheet p1'!$AQ$7:$AQ$35)/10,0))</f>
        <v>0</v>
      </c>
      <c r="DX99" s="240">
        <f t="shared" si="77"/>
        <v>0</v>
      </c>
      <c r="DY99" s="36">
        <f t="shared" si="83"/>
        <v>20</v>
      </c>
      <c r="DZ99" s="36" t="str">
        <f t="shared" si="68"/>
        <v/>
      </c>
      <c r="EE99" s="36">
        <f t="shared" si="82"/>
        <v>3</v>
      </c>
    </row>
    <row r="100" spans="3:135">
      <c r="C100" s="32"/>
      <c r="D100" s="171"/>
      <c r="E100" s="34"/>
      <c r="F100" s="155" t="str">
        <f t="shared" si="79"/>
        <v/>
      </c>
      <c r="G100" s="173"/>
      <c r="H100" s="31" t="str">
        <f t="shared" ca="1" si="43"/>
        <v/>
      </c>
      <c r="I100" s="173" t="str">
        <f t="shared" si="44"/>
        <v>+B</v>
      </c>
      <c r="J100" s="39"/>
      <c r="K100" s="102"/>
      <c r="L100" s="31"/>
      <c r="M100" s="31"/>
      <c r="N100" s="31"/>
      <c r="O100" s="31"/>
      <c r="P100" s="31"/>
      <c r="Q100" s="31"/>
      <c r="R100" s="31"/>
      <c r="S100" s="31"/>
      <c r="T100" s="31"/>
      <c r="U100" s="168" t="s">
        <v>436</v>
      </c>
      <c r="V100" s="36"/>
      <c r="W100" s="36"/>
      <c r="X100" s="36" t="str">
        <f t="shared" ca="1" si="91"/>
        <v/>
      </c>
      <c r="Y100" s="36" t="str">
        <f t="shared" ca="1" si="45"/>
        <v/>
      </c>
      <c r="Z100" s="176"/>
      <c r="AA100" s="176" t="str">
        <f t="shared" ref="AA100:AA114" si="92">IF(K100=0,"","Bulk "&amp;K100&amp;", ")&amp;IF(L100="","",L100&amp;", ")&amp;IF(M100=0,"","Def+"&amp;M100&amp;", ")&amp;IF(N100="","",N100&amp;", ")&amp;IF(O100="","",O100&amp;", ")&amp;IF(P100=0,"","Off-hand+"&amp;P100&amp;", ")&amp;IF(Q100=0,"","Pierce "&amp;Q100&amp;", ")&amp;IF(S100="","","Reload "&amp;S100&amp;", ")&amp;IF(T100=0,"","Shatter "&amp;T100&amp;", ")&amp;IF(U100="","",U100&amp;", ")&amp;IF(V100="","",V100&amp;", ")</f>
        <v/>
      </c>
      <c r="AB100" s="176" t="str">
        <f t="shared" si="46"/>
        <v/>
      </c>
      <c r="AC100" s="176">
        <f t="shared" si="47"/>
        <v>10</v>
      </c>
      <c r="AD100" s="176">
        <f t="shared" si="48"/>
        <v>10</v>
      </c>
      <c r="AG100" s="32" t="s">
        <v>834</v>
      </c>
      <c r="AH100" s="34" t="s">
        <v>879</v>
      </c>
      <c r="AI100" s="34" t="s">
        <v>100</v>
      </c>
      <c r="AJ100" s="31"/>
      <c r="AK100" s="31"/>
      <c r="AL100" s="31">
        <f t="shared" si="84"/>
        <v>0</v>
      </c>
      <c r="AM100" s="31">
        <f>N(AND(heritage=0,endurance&gt;4))</f>
        <v>0</v>
      </c>
      <c r="AN100" s="31">
        <f t="shared" si="78"/>
        <v>99</v>
      </c>
      <c r="AO100" s="35" t="s">
        <v>99</v>
      </c>
      <c r="AP100" s="134"/>
      <c r="AQ100" s="47"/>
      <c r="AR100" s="134"/>
      <c r="AS100" s="47"/>
      <c r="AT100" s="134"/>
      <c r="AU100" s="47"/>
      <c r="AV100" s="134"/>
      <c r="AW100" s="47"/>
      <c r="AX100" s="134"/>
      <c r="AY100" s="47"/>
      <c r="AZ100" s="134"/>
      <c r="BA100" s="47"/>
      <c r="BB100" s="134"/>
      <c r="BC100" s="47"/>
      <c r="BD100" s="134"/>
      <c r="BE100" s="47"/>
      <c r="BF100" s="134"/>
      <c r="BG100" s="47"/>
      <c r="BH100" s="134"/>
      <c r="BI100" s="47"/>
      <c r="BJ100" s="134"/>
      <c r="BK100" s="47"/>
      <c r="BL100" s="134"/>
      <c r="BM100" s="47"/>
      <c r="BN100" s="134"/>
      <c r="BO100" s="47"/>
      <c r="BP100" s="134"/>
      <c r="BQ100" s="47"/>
      <c r="BR100" s="134"/>
      <c r="BS100" s="47"/>
      <c r="BT100" s="134"/>
      <c r="BU100" s="47"/>
      <c r="BV100" s="134"/>
      <c r="BW100" s="47"/>
      <c r="BX100" s="134"/>
      <c r="BY100" s="47"/>
      <c r="BZ100" s="134"/>
      <c r="CA100" s="47"/>
      <c r="CB100" s="120"/>
      <c r="CC100" s="120"/>
      <c r="CD100" s="120"/>
      <c r="CE100" s="120"/>
      <c r="CF100" s="120"/>
      <c r="CG100" s="120"/>
      <c r="CH100" s="120"/>
      <c r="CI100" s="120"/>
      <c r="CJ100" s="120"/>
      <c r="CK100" s="179" t="str">
        <f t="shared" si="55"/>
        <v/>
      </c>
      <c r="CL100" s="37" t="str">
        <f t="shared" ca="1" si="85"/>
        <v/>
      </c>
      <c r="CM100" s="36" t="str">
        <f t="shared" si="71"/>
        <v/>
      </c>
      <c r="CN100" s="37" t="str">
        <f ca="1">IF($AN100&gt;CN$1,"",INDEX($AG$2:$AG$226,SMALL(CM$2:$CM$226,$AN100),1))</f>
        <v/>
      </c>
      <c r="CO100" s="36" t="str">
        <f t="shared" si="72"/>
        <v/>
      </c>
      <c r="CP100" s="37" t="str">
        <f t="shared" ca="1" si="73"/>
        <v/>
      </c>
      <c r="CS100" s="28" t="str">
        <f t="shared" si="57"/>
        <v/>
      </c>
      <c r="CT100" s="37" t="str">
        <f t="shared" ca="1" si="86"/>
        <v/>
      </c>
      <c r="CU100" s="28" t="str">
        <f t="shared" si="57"/>
        <v/>
      </c>
      <c r="CV100" s="37" t="str">
        <f t="shared" ca="1" si="87"/>
        <v/>
      </c>
      <c r="CW100" s="28" t="str">
        <f t="shared" si="60"/>
        <v/>
      </c>
      <c r="CX100" s="37" t="str">
        <f t="shared" ca="1" si="88"/>
        <v/>
      </c>
      <c r="CY100" s="28" t="str">
        <f t="shared" si="62"/>
        <v/>
      </c>
      <c r="CZ100" s="37" t="str">
        <f t="shared" ca="1" si="88"/>
        <v/>
      </c>
      <c r="DA100" s="28" t="str">
        <f t="shared" si="63"/>
        <v/>
      </c>
      <c r="DB100" s="37" t="str">
        <f t="shared" ca="1" si="89"/>
        <v/>
      </c>
      <c r="DC100" s="28" t="str">
        <f t="shared" si="65"/>
        <v/>
      </c>
      <c r="DD100" s="37" t="str">
        <f t="shared" ca="1" si="90"/>
        <v/>
      </c>
      <c r="DN100" s="32">
        <v>99</v>
      </c>
      <c r="DO100" s="34" t="s">
        <v>658</v>
      </c>
      <c r="DP100" s="38">
        <f t="shared" si="81"/>
        <v>0</v>
      </c>
      <c r="DQ100" s="173" t="str">
        <f t="shared" si="74"/>
        <v>(Awar) 0</v>
      </c>
      <c r="DR100" s="36" t="str">
        <f t="shared" si="75"/>
        <v/>
      </c>
      <c r="DS100" s="37" t="str">
        <f t="shared" si="76"/>
        <v/>
      </c>
      <c r="DV100" s="176">
        <f t="shared" si="67"/>
        <v>0</v>
      </c>
      <c r="DW100" s="243">
        <f>IF(COUNTIF('Char Sheet p1'!$AP$7:$AP$35,DQ100)=0,0,ROUNDDOWN(SUMIF('Char Sheet p1'!$AP$7:$AP$35,DQ100,'Char Sheet p1'!$AQ$7:$AQ$35)/10,0))</f>
        <v>0</v>
      </c>
      <c r="DX100" s="240">
        <f t="shared" si="77"/>
        <v>0</v>
      </c>
      <c r="DY100" s="36">
        <f t="shared" si="83"/>
        <v>21</v>
      </c>
      <c r="DZ100" s="36" t="str">
        <f t="shared" si="68"/>
        <v/>
      </c>
      <c r="EE100" s="36">
        <f t="shared" si="82"/>
        <v>3</v>
      </c>
    </row>
    <row r="101" spans="3:135">
      <c r="C101" s="32"/>
      <c r="D101" s="171"/>
      <c r="E101" s="34"/>
      <c r="F101" s="155" t="str">
        <f t="shared" si="79"/>
        <v/>
      </c>
      <c r="G101" s="173"/>
      <c r="H101" s="31" t="str">
        <f t="shared" ca="1" si="43"/>
        <v/>
      </c>
      <c r="I101" s="173" t="str">
        <f t="shared" si="44"/>
        <v>+B</v>
      </c>
      <c r="J101" s="39"/>
      <c r="K101" s="102"/>
      <c r="L101" s="31"/>
      <c r="M101" s="31"/>
      <c r="N101" s="31"/>
      <c r="O101" s="31"/>
      <c r="P101" s="31"/>
      <c r="Q101" s="31"/>
      <c r="R101" s="31"/>
      <c r="S101" s="31"/>
      <c r="T101" s="31"/>
      <c r="U101" s="168" t="s">
        <v>436</v>
      </c>
      <c r="V101" s="36"/>
      <c r="W101" s="36"/>
      <c r="X101" s="36" t="str">
        <f t="shared" ca="1" si="91"/>
        <v/>
      </c>
      <c r="Y101" s="36" t="str">
        <f t="shared" ca="1" si="45"/>
        <v/>
      </c>
      <c r="Z101" s="176"/>
      <c r="AA101" s="176" t="str">
        <f t="shared" si="92"/>
        <v/>
      </c>
      <c r="AB101" s="176" t="str">
        <f t="shared" si="46"/>
        <v/>
      </c>
      <c r="AC101" s="176">
        <f t="shared" si="47"/>
        <v>10</v>
      </c>
      <c r="AD101" s="176">
        <f t="shared" si="48"/>
        <v>10</v>
      </c>
      <c r="AG101" s="32" t="s">
        <v>785</v>
      </c>
      <c r="AH101" s="34" t="s">
        <v>789</v>
      </c>
      <c r="AI101" s="34" t="s">
        <v>820</v>
      </c>
      <c r="AJ101" s="31"/>
      <c r="AK101" s="31"/>
      <c r="AL101" s="31" t="str">
        <f t="shared" si="84"/>
        <v/>
      </c>
      <c r="AM101" s="31">
        <f>N(animal&gt;2)</f>
        <v>1</v>
      </c>
      <c r="AN101" s="31">
        <f t="shared" si="78"/>
        <v>100</v>
      </c>
      <c r="AO101" s="35" t="s">
        <v>101</v>
      </c>
      <c r="AP101" s="134"/>
      <c r="AQ101" s="47"/>
      <c r="AR101" s="134"/>
      <c r="AS101" s="47"/>
      <c r="AT101" s="134"/>
      <c r="AU101" s="47"/>
      <c r="AV101" s="134"/>
      <c r="AW101" s="47"/>
      <c r="AX101" s="134"/>
      <c r="AY101" s="47"/>
      <c r="AZ101" s="134"/>
      <c r="BA101" s="47"/>
      <c r="BB101" s="134"/>
      <c r="BC101" s="47"/>
      <c r="BD101" s="134"/>
      <c r="BE101" s="47"/>
      <c r="BF101" s="134"/>
      <c r="BG101" s="47"/>
      <c r="BH101" s="134"/>
      <c r="BI101" s="47"/>
      <c r="BJ101" s="134"/>
      <c r="BK101" s="47"/>
      <c r="BL101" s="134"/>
      <c r="BM101" s="47"/>
      <c r="BN101" s="134"/>
      <c r="BO101" s="47"/>
      <c r="BP101" s="134"/>
      <c r="BQ101" s="47"/>
      <c r="BR101" s="134"/>
      <c r="BS101" s="47"/>
      <c r="BT101" s="134"/>
      <c r="BU101" s="47"/>
      <c r="BV101" s="134"/>
      <c r="BW101" s="47"/>
      <c r="BX101" s="134"/>
      <c r="BY101" s="47"/>
      <c r="BZ101" s="134"/>
      <c r="CA101" s="47"/>
      <c r="CB101" s="120"/>
      <c r="CC101" s="120"/>
      <c r="CD101" s="120"/>
      <c r="CE101" s="120"/>
      <c r="CF101" s="120"/>
      <c r="CG101" s="120"/>
      <c r="CH101" s="120"/>
      <c r="CI101" s="120"/>
      <c r="CJ101" s="120"/>
      <c r="CK101" s="179">
        <f t="shared" si="55"/>
        <v>100</v>
      </c>
      <c r="CL101" s="37" t="str">
        <f t="shared" ca="1" si="85"/>
        <v/>
      </c>
      <c r="CM101" s="36">
        <f t="shared" si="71"/>
        <v>100</v>
      </c>
      <c r="CN101" s="37" t="str">
        <f ca="1">IF($AN101&gt;CN$1,"",INDEX($AG$2:$AG$226,SMALL(CM$2:$CM$226,$AN101),1))</f>
        <v/>
      </c>
      <c r="CO101" s="36">
        <f t="shared" si="72"/>
        <v>100</v>
      </c>
      <c r="CP101" s="37" t="str">
        <f t="shared" ca="1" si="73"/>
        <v/>
      </c>
      <c r="CS101" s="28">
        <f t="shared" si="57"/>
        <v>100</v>
      </c>
      <c r="CT101" s="37" t="str">
        <f t="shared" ca="1" si="86"/>
        <v/>
      </c>
      <c r="CU101" s="28">
        <f t="shared" si="57"/>
        <v>100</v>
      </c>
      <c r="CV101" s="37" t="str">
        <f t="shared" ca="1" si="87"/>
        <v/>
      </c>
      <c r="CW101" s="28">
        <f t="shared" si="60"/>
        <v>100</v>
      </c>
      <c r="CX101" s="37" t="str">
        <f t="shared" ca="1" si="88"/>
        <v/>
      </c>
      <c r="CY101" s="28">
        <f t="shared" si="62"/>
        <v>100</v>
      </c>
      <c r="CZ101" s="37" t="str">
        <f t="shared" ca="1" si="88"/>
        <v/>
      </c>
      <c r="DA101" s="28">
        <f t="shared" si="63"/>
        <v>100</v>
      </c>
      <c r="DB101" s="37" t="str">
        <f t="shared" ca="1" si="89"/>
        <v/>
      </c>
      <c r="DC101" s="28">
        <f t="shared" si="65"/>
        <v>100</v>
      </c>
      <c r="DD101" s="37" t="str">
        <f t="shared" ca="1" si="90"/>
        <v/>
      </c>
      <c r="DN101" s="32">
        <v>100</v>
      </c>
      <c r="DO101" s="34" t="s">
        <v>658</v>
      </c>
      <c r="DP101" s="38">
        <f t="shared" si="81"/>
        <v>0</v>
      </c>
      <c r="DQ101" s="173" t="str">
        <f t="shared" si="74"/>
        <v>(Awar) 0</v>
      </c>
      <c r="DR101" s="36" t="str">
        <f t="shared" si="75"/>
        <v/>
      </c>
      <c r="DS101" s="37" t="str">
        <f t="shared" si="76"/>
        <v/>
      </c>
      <c r="DV101" s="176">
        <f t="shared" si="67"/>
        <v>0</v>
      </c>
      <c r="DW101" s="243">
        <f>IF(COUNTIF('Char Sheet p1'!$AP$7:$AP$35,DQ101)=0,0,ROUNDDOWN(SUMIF('Char Sheet p1'!$AP$7:$AP$35,DQ101,'Char Sheet p1'!$AQ$7:$AQ$35)/10,0))</f>
        <v>0</v>
      </c>
      <c r="DX101" s="240">
        <f t="shared" si="77"/>
        <v>0</v>
      </c>
      <c r="DY101" s="36">
        <f t="shared" si="83"/>
        <v>22</v>
      </c>
      <c r="DZ101" s="36" t="str">
        <f t="shared" si="68"/>
        <v/>
      </c>
      <c r="EE101" s="36">
        <f t="shared" si="82"/>
        <v>3</v>
      </c>
    </row>
    <row r="102" spans="3:135">
      <c r="C102" s="32"/>
      <c r="D102" s="171"/>
      <c r="E102" s="34"/>
      <c r="F102" s="155" t="str">
        <f t="shared" si="79"/>
        <v/>
      </c>
      <c r="G102" s="173"/>
      <c r="H102" s="31" t="str">
        <f t="shared" ca="1" si="43"/>
        <v/>
      </c>
      <c r="I102" s="173" t="str">
        <f t="shared" si="44"/>
        <v>+B</v>
      </c>
      <c r="J102" s="39"/>
      <c r="K102" s="102"/>
      <c r="L102" s="31"/>
      <c r="M102" s="31"/>
      <c r="N102" s="31"/>
      <c r="O102" s="31"/>
      <c r="P102" s="31"/>
      <c r="Q102" s="31"/>
      <c r="R102" s="31"/>
      <c r="S102" s="31"/>
      <c r="T102" s="31"/>
      <c r="U102" s="168"/>
      <c r="V102" s="36"/>
      <c r="W102" s="36"/>
      <c r="X102" s="36" t="str">
        <f t="shared" ca="1" si="91"/>
        <v/>
      </c>
      <c r="Y102" s="36" t="str">
        <f t="shared" ca="1" si="45"/>
        <v/>
      </c>
      <c r="Z102" s="176"/>
      <c r="AA102" s="176" t="str">
        <f t="shared" si="92"/>
        <v/>
      </c>
      <c r="AB102" s="176" t="str">
        <f t="shared" si="46"/>
        <v/>
      </c>
      <c r="AC102" s="176">
        <f t="shared" si="47"/>
        <v>10</v>
      </c>
      <c r="AD102" s="176">
        <f t="shared" si="48"/>
        <v>10</v>
      </c>
      <c r="AG102" s="32" t="s">
        <v>767</v>
      </c>
      <c r="AH102" s="34" t="s">
        <v>773</v>
      </c>
      <c r="AI102" s="34" t="s">
        <v>802</v>
      </c>
      <c r="AJ102" s="31"/>
      <c r="AK102" s="31"/>
      <c r="AL102" s="31" t="str">
        <f t="shared" si="84"/>
        <v/>
      </c>
      <c r="AM102" s="31">
        <f>N(healing&gt;3)</f>
        <v>0</v>
      </c>
      <c r="AN102" s="31">
        <f t="shared" si="78"/>
        <v>101</v>
      </c>
      <c r="AO102" s="35" t="s">
        <v>102</v>
      </c>
      <c r="AP102" s="134"/>
      <c r="AQ102" s="47"/>
      <c r="AR102" s="134"/>
      <c r="AS102" s="47"/>
      <c r="AT102" s="134"/>
      <c r="AU102" s="47"/>
      <c r="AV102" s="134"/>
      <c r="AW102" s="47"/>
      <c r="AX102" s="134"/>
      <c r="AY102" s="47"/>
      <c r="AZ102" s="134"/>
      <c r="BA102" s="47"/>
      <c r="BB102" s="134"/>
      <c r="BC102" s="47"/>
      <c r="BD102" s="134"/>
      <c r="BE102" s="47"/>
      <c r="BF102" s="134"/>
      <c r="BG102" s="47">
        <f ca="1">SUMIF(knospec,"Education",knospecval)</f>
        <v>0</v>
      </c>
      <c r="BH102" s="134"/>
      <c r="BI102" s="47"/>
      <c r="BJ102" s="134"/>
      <c r="BK102" s="47"/>
      <c r="BL102" s="134"/>
      <c r="BM102" s="47"/>
      <c r="BN102" s="134"/>
      <c r="BO102" s="47"/>
      <c r="BP102" s="134"/>
      <c r="BQ102" s="47"/>
      <c r="BR102" s="134"/>
      <c r="BS102" s="47"/>
      <c r="BT102" s="134"/>
      <c r="BU102" s="47"/>
      <c r="BV102" s="134"/>
      <c r="BW102" s="47"/>
      <c r="BX102" s="134"/>
      <c r="BY102" s="47"/>
      <c r="BZ102" s="134"/>
      <c r="CA102" s="47"/>
      <c r="CB102" s="120"/>
      <c r="CC102" s="120"/>
      <c r="CD102" s="120"/>
      <c r="CE102" s="120"/>
      <c r="CF102" s="120"/>
      <c r="CG102" s="120"/>
      <c r="CH102" s="120"/>
      <c r="CI102" s="120"/>
      <c r="CJ102" s="120"/>
      <c r="CK102" s="179" t="str">
        <f t="shared" si="55"/>
        <v/>
      </c>
      <c r="CL102" s="37" t="str">
        <f t="shared" ca="1" si="85"/>
        <v/>
      </c>
      <c r="CM102" s="36" t="str">
        <f t="shared" si="71"/>
        <v/>
      </c>
      <c r="CN102" s="37" t="str">
        <f ca="1">IF($AN102&gt;CN$1,"",INDEX($AG$2:$AG$226,SMALL(CM$2:$CM$226,$AN102),1))</f>
        <v/>
      </c>
      <c r="CO102" s="36" t="str">
        <f t="shared" si="72"/>
        <v/>
      </c>
      <c r="CP102" s="37" t="str">
        <f t="shared" ca="1" si="73"/>
        <v/>
      </c>
      <c r="CS102" s="28" t="str">
        <f t="shared" si="57"/>
        <v/>
      </c>
      <c r="CT102" s="37" t="str">
        <f t="shared" ca="1" si="86"/>
        <v/>
      </c>
      <c r="CU102" s="28" t="str">
        <f t="shared" si="57"/>
        <v/>
      </c>
      <c r="CV102" s="37" t="str">
        <f t="shared" ca="1" si="87"/>
        <v/>
      </c>
      <c r="CW102" s="28" t="str">
        <f t="shared" si="60"/>
        <v/>
      </c>
      <c r="CX102" s="37" t="str">
        <f t="shared" ca="1" si="88"/>
        <v/>
      </c>
      <c r="CY102" s="28" t="str">
        <f t="shared" si="62"/>
        <v/>
      </c>
      <c r="CZ102" s="37" t="str">
        <f t="shared" ca="1" si="88"/>
        <v/>
      </c>
      <c r="DA102" s="28" t="str">
        <f t="shared" si="63"/>
        <v/>
      </c>
      <c r="DB102" s="37" t="str">
        <f t="shared" ca="1" si="89"/>
        <v/>
      </c>
      <c r="DC102" s="28" t="str">
        <f t="shared" si="65"/>
        <v/>
      </c>
      <c r="DD102" s="37" t="str">
        <f t="shared" ca="1" si="90"/>
        <v/>
      </c>
      <c r="DN102" s="32">
        <v>101</v>
      </c>
      <c r="DO102" s="34" t="s">
        <v>658</v>
      </c>
      <c r="DP102" s="38">
        <f t="shared" si="81"/>
        <v>0</v>
      </c>
      <c r="DQ102" s="173" t="str">
        <f t="shared" si="74"/>
        <v>(Awar) 0</v>
      </c>
      <c r="DR102" s="36" t="str">
        <f t="shared" si="75"/>
        <v/>
      </c>
      <c r="DS102" s="37" t="str">
        <f t="shared" si="76"/>
        <v/>
      </c>
      <c r="DV102" s="176">
        <f t="shared" si="67"/>
        <v>0</v>
      </c>
      <c r="DW102" s="243">
        <f>IF(COUNTIF('Char Sheet p1'!$AP$7:$AP$35,DQ102)=0,0,ROUNDDOWN(SUMIF('Char Sheet p1'!$AP$7:$AP$35,DQ102,'Char Sheet p1'!$AQ$7:$AQ$35)/10,0))</f>
        <v>0</v>
      </c>
      <c r="DX102" s="240">
        <f t="shared" si="77"/>
        <v>0</v>
      </c>
      <c r="DY102" s="36">
        <f t="shared" si="83"/>
        <v>23</v>
      </c>
      <c r="DZ102" s="36" t="str">
        <f t="shared" si="68"/>
        <v/>
      </c>
      <c r="EE102" s="36">
        <f t="shared" si="82"/>
        <v>3</v>
      </c>
    </row>
    <row r="103" spans="3:135">
      <c r="C103" s="32"/>
      <c r="D103" s="171"/>
      <c r="E103" s="34"/>
      <c r="F103" s="155" t="str">
        <f t="shared" si="79"/>
        <v/>
      </c>
      <c r="G103" s="173"/>
      <c r="H103" s="31" t="str">
        <f t="shared" ca="1" si="43"/>
        <v/>
      </c>
      <c r="I103" s="173" t="str">
        <f t="shared" si="44"/>
        <v>+B</v>
      </c>
      <c r="J103" s="39"/>
      <c r="K103" s="102"/>
      <c r="L103" s="31"/>
      <c r="M103" s="31"/>
      <c r="N103" s="31"/>
      <c r="O103" s="31"/>
      <c r="P103" s="31"/>
      <c r="Q103" s="31"/>
      <c r="R103" s="31"/>
      <c r="S103" s="31"/>
      <c r="T103" s="31"/>
      <c r="U103" s="168"/>
      <c r="V103" s="36"/>
      <c r="W103" s="36"/>
      <c r="X103" s="36" t="str">
        <f t="shared" ca="1" si="91"/>
        <v/>
      </c>
      <c r="Y103" s="36" t="str">
        <f t="shared" ca="1" si="45"/>
        <v/>
      </c>
      <c r="Z103" s="176"/>
      <c r="AA103" s="176" t="str">
        <f t="shared" si="92"/>
        <v/>
      </c>
      <c r="AB103" s="176" t="str">
        <f t="shared" si="46"/>
        <v/>
      </c>
      <c r="AC103" s="176">
        <f t="shared" si="47"/>
        <v>10</v>
      </c>
      <c r="AD103" s="176">
        <f t="shared" si="48"/>
        <v>10</v>
      </c>
      <c r="AG103" s="32" t="s">
        <v>768</v>
      </c>
      <c r="AH103" s="34" t="s">
        <v>773</v>
      </c>
      <c r="AI103" s="34" t="s">
        <v>803</v>
      </c>
      <c r="AJ103" s="31"/>
      <c r="AK103" s="31"/>
      <c r="AL103" s="31" t="str">
        <f t="shared" si="84"/>
        <v/>
      </c>
      <c r="AM103" s="31">
        <f>N(persuasion&gt;2)</f>
        <v>0</v>
      </c>
      <c r="AN103" s="31">
        <f t="shared" si="78"/>
        <v>102</v>
      </c>
      <c r="AO103" s="35" t="s">
        <v>103</v>
      </c>
      <c r="AP103" s="134"/>
      <c r="AQ103" s="47"/>
      <c r="AR103" s="134"/>
      <c r="AS103" s="47"/>
      <c r="AT103" s="134"/>
      <c r="AU103" s="47"/>
      <c r="AV103" s="134"/>
      <c r="AW103" s="47"/>
      <c r="AX103" s="134"/>
      <c r="AY103" s="47"/>
      <c r="AZ103" s="134"/>
      <c r="BA103" s="47"/>
      <c r="BB103" s="134"/>
      <c r="BC103" s="47"/>
      <c r="BD103" s="134"/>
      <c r="BE103" s="47"/>
      <c r="BF103" s="134"/>
      <c r="BG103" s="47"/>
      <c r="BH103" s="134"/>
      <c r="BI103" s="47"/>
      <c r="BJ103" s="134"/>
      <c r="BK103" s="47"/>
      <c r="BL103" s="134"/>
      <c r="BM103" s="47"/>
      <c r="BN103" s="134"/>
      <c r="BO103" s="47"/>
      <c r="BP103" s="134"/>
      <c r="BQ103" s="47"/>
      <c r="BR103" s="134"/>
      <c r="BS103" s="47"/>
      <c r="BT103" s="134"/>
      <c r="BU103" s="47"/>
      <c r="BV103" s="134"/>
      <c r="BW103" s="47"/>
      <c r="BX103" s="134"/>
      <c r="BY103" s="47"/>
      <c r="BZ103" s="134"/>
      <c r="CA103" s="47"/>
      <c r="CB103" s="120"/>
      <c r="CC103" s="120"/>
      <c r="CD103" s="120"/>
      <c r="CE103" s="120"/>
      <c r="CF103" s="120"/>
      <c r="CG103" s="120"/>
      <c r="CH103" s="120"/>
      <c r="CI103" s="120"/>
      <c r="CJ103" s="120"/>
      <c r="CK103" s="179" t="str">
        <f t="shared" si="55"/>
        <v/>
      </c>
      <c r="CL103" s="37" t="str">
        <f t="shared" ca="1" si="85"/>
        <v/>
      </c>
      <c r="CM103" s="36" t="str">
        <f t="shared" si="71"/>
        <v/>
      </c>
      <c r="CN103" s="37" t="str">
        <f ca="1">IF($AN103&gt;CN$1,"",INDEX($AG$2:$AG$226,SMALL(CM$2:$CM$226,$AN103),1))</f>
        <v/>
      </c>
      <c r="CO103" s="36" t="str">
        <f t="shared" si="72"/>
        <v/>
      </c>
      <c r="CP103" s="37" t="str">
        <f t="shared" ca="1" si="73"/>
        <v/>
      </c>
      <c r="CS103" s="28" t="str">
        <f t="shared" si="57"/>
        <v/>
      </c>
      <c r="CT103" s="37" t="str">
        <f t="shared" ca="1" si="86"/>
        <v/>
      </c>
      <c r="CU103" s="28" t="str">
        <f t="shared" si="57"/>
        <v/>
      </c>
      <c r="CV103" s="37" t="str">
        <f t="shared" ca="1" si="87"/>
        <v/>
      </c>
      <c r="CW103" s="28" t="str">
        <f t="shared" si="60"/>
        <v/>
      </c>
      <c r="CX103" s="37" t="str">
        <f t="shared" ca="1" si="88"/>
        <v/>
      </c>
      <c r="CY103" s="28" t="str">
        <f t="shared" si="62"/>
        <v/>
      </c>
      <c r="CZ103" s="37" t="str">
        <f t="shared" ca="1" si="88"/>
        <v/>
      </c>
      <c r="DA103" s="28" t="str">
        <f t="shared" si="63"/>
        <v/>
      </c>
      <c r="DB103" s="37" t="str">
        <f t="shared" ca="1" si="89"/>
        <v/>
      </c>
      <c r="DC103" s="28" t="str">
        <f t="shared" si="65"/>
        <v/>
      </c>
      <c r="DD103" s="37" t="str">
        <f t="shared" ca="1" si="90"/>
        <v/>
      </c>
      <c r="DN103" s="32">
        <v>102</v>
      </c>
      <c r="DO103" s="34" t="s">
        <v>658</v>
      </c>
      <c r="DP103" s="38">
        <f t="shared" si="81"/>
        <v>0</v>
      </c>
      <c r="DQ103" s="173" t="str">
        <f t="shared" si="74"/>
        <v>(Awar) 0</v>
      </c>
      <c r="DR103" s="36" t="str">
        <f t="shared" si="75"/>
        <v/>
      </c>
      <c r="DS103" s="37" t="str">
        <f t="shared" si="76"/>
        <v/>
      </c>
      <c r="DV103" s="176">
        <f t="shared" si="67"/>
        <v>0</v>
      </c>
      <c r="DW103" s="243">
        <f>IF(COUNTIF('Char Sheet p1'!$AP$7:$AP$35,DQ103)=0,0,ROUNDDOWN(SUMIF('Char Sheet p1'!$AP$7:$AP$35,DQ103,'Char Sheet p1'!$AQ$7:$AQ$35)/10,0))</f>
        <v>0</v>
      </c>
      <c r="DX103" s="240">
        <f t="shared" si="77"/>
        <v>0</v>
      </c>
      <c r="DY103" s="36">
        <f t="shared" si="83"/>
        <v>24</v>
      </c>
      <c r="DZ103" s="36" t="str">
        <f t="shared" si="68"/>
        <v/>
      </c>
      <c r="EE103" s="36">
        <f t="shared" si="82"/>
        <v>3</v>
      </c>
    </row>
    <row r="104" spans="3:135">
      <c r="C104" s="32"/>
      <c r="D104" s="171"/>
      <c r="E104" s="34"/>
      <c r="F104" s="155" t="str">
        <f t="shared" si="79"/>
        <v/>
      </c>
      <c r="G104" s="173"/>
      <c r="H104" s="31" t="str">
        <f t="shared" ca="1" si="43"/>
        <v/>
      </c>
      <c r="I104" s="173" t="str">
        <f t="shared" si="44"/>
        <v>+B</v>
      </c>
      <c r="J104" s="39"/>
      <c r="K104" s="102"/>
      <c r="L104" s="31"/>
      <c r="M104" s="31"/>
      <c r="N104" s="31"/>
      <c r="O104" s="31"/>
      <c r="P104" s="31"/>
      <c r="Q104" s="31"/>
      <c r="R104" s="31"/>
      <c r="S104" s="31"/>
      <c r="T104" s="31"/>
      <c r="U104" s="168"/>
      <c r="V104" s="36"/>
      <c r="W104" s="36"/>
      <c r="X104" s="36" t="str">
        <f t="shared" ca="1" si="91"/>
        <v/>
      </c>
      <c r="Y104" s="36" t="str">
        <f t="shared" ca="1" si="45"/>
        <v/>
      </c>
      <c r="Z104" s="176"/>
      <c r="AA104" s="176" t="str">
        <f t="shared" si="92"/>
        <v/>
      </c>
      <c r="AB104" s="176" t="str">
        <f t="shared" si="46"/>
        <v/>
      </c>
      <c r="AC104" s="176">
        <f t="shared" si="47"/>
        <v>10</v>
      </c>
      <c r="AD104" s="176">
        <f t="shared" si="48"/>
        <v>10</v>
      </c>
      <c r="AG104" s="32" t="s">
        <v>787</v>
      </c>
      <c r="AH104" s="34" t="s">
        <v>789</v>
      </c>
      <c r="AI104" s="34"/>
      <c r="AJ104" s="31"/>
      <c r="AK104" s="31"/>
      <c r="AL104" s="31" t="str">
        <f t="shared" si="84"/>
        <v/>
      </c>
      <c r="AM104" s="31">
        <v>1</v>
      </c>
      <c r="AN104" s="31">
        <f t="shared" si="78"/>
        <v>103</v>
      </c>
      <c r="AO104" s="35" t="s">
        <v>104</v>
      </c>
      <c r="AP104" s="134"/>
      <c r="AQ104" s="47"/>
      <c r="AR104" s="134"/>
      <c r="AS104" s="47"/>
      <c r="AT104" s="134"/>
      <c r="AU104" s="47"/>
      <c r="AV104" s="134"/>
      <c r="AW104" s="47"/>
      <c r="AX104" s="134"/>
      <c r="AY104" s="47"/>
      <c r="AZ104" s="134"/>
      <c r="BA104" s="47"/>
      <c r="BB104" s="134"/>
      <c r="BC104" s="47"/>
      <c r="BD104" s="134"/>
      <c r="BE104" s="47"/>
      <c r="BF104" s="134"/>
      <c r="BG104" s="47"/>
      <c r="BH104" s="134"/>
      <c r="BI104" s="47"/>
      <c r="BJ104" s="134"/>
      <c r="BK104" s="47"/>
      <c r="BL104" s="134"/>
      <c r="BM104" s="47"/>
      <c r="BN104" s="134"/>
      <c r="BO104" s="47"/>
      <c r="BP104" s="134"/>
      <c r="BQ104" s="47"/>
      <c r="BR104" s="134"/>
      <c r="BS104" s="47"/>
      <c r="BT104" s="134"/>
      <c r="BU104" s="47"/>
      <c r="BV104" s="134"/>
      <c r="BW104" s="47"/>
      <c r="BX104" s="134"/>
      <c r="BY104" s="47"/>
      <c r="BZ104" s="134"/>
      <c r="CA104" s="47"/>
      <c r="CB104" s="120"/>
      <c r="CC104" s="120"/>
      <c r="CD104" s="120"/>
      <c r="CE104" s="120"/>
      <c r="CF104" s="120"/>
      <c r="CG104" s="120"/>
      <c r="CH104" s="120"/>
      <c r="CI104" s="120"/>
      <c r="CJ104" s="120"/>
      <c r="CK104" s="179" t="str">
        <f t="shared" si="55"/>
        <v/>
      </c>
      <c r="CL104" s="37" t="str">
        <f t="shared" ca="1" si="85"/>
        <v/>
      </c>
      <c r="CM104" s="36">
        <f t="shared" si="71"/>
        <v>103</v>
      </c>
      <c r="CN104" s="37" t="str">
        <f ca="1">IF($AN104&gt;CN$1,"",INDEX($AG$2:$AG$226,SMALL(CM$2:$CM$226,$AN104),1))</f>
        <v/>
      </c>
      <c r="CO104" s="36" t="str">
        <f t="shared" si="72"/>
        <v/>
      </c>
      <c r="CP104" s="37" t="str">
        <f t="shared" ca="1" si="73"/>
        <v/>
      </c>
      <c r="CS104" s="28" t="str">
        <f t="shared" si="57"/>
        <v/>
      </c>
      <c r="CT104" s="37" t="str">
        <f t="shared" ca="1" si="86"/>
        <v/>
      </c>
      <c r="CU104" s="28" t="str">
        <f t="shared" si="57"/>
        <v/>
      </c>
      <c r="CV104" s="37" t="str">
        <f t="shared" ca="1" si="87"/>
        <v/>
      </c>
      <c r="CW104" s="28" t="str">
        <f t="shared" si="60"/>
        <v/>
      </c>
      <c r="CX104" s="37" t="str">
        <f t="shared" ca="1" si="88"/>
        <v/>
      </c>
      <c r="CY104" s="28" t="str">
        <f t="shared" si="62"/>
        <v/>
      </c>
      <c r="CZ104" s="37" t="str">
        <f t="shared" ca="1" si="88"/>
        <v/>
      </c>
      <c r="DA104" s="28" t="str">
        <f t="shared" si="63"/>
        <v/>
      </c>
      <c r="DB104" s="37" t="str">
        <f t="shared" ca="1" si="89"/>
        <v/>
      </c>
      <c r="DC104" s="28" t="str">
        <f t="shared" si="65"/>
        <v/>
      </c>
      <c r="DD104" s="37" t="str">
        <f t="shared" ca="1" si="90"/>
        <v/>
      </c>
      <c r="DN104" s="32">
        <v>103</v>
      </c>
      <c r="DO104" s="34" t="s">
        <v>658</v>
      </c>
      <c r="DP104" s="38">
        <f t="shared" si="81"/>
        <v>0</v>
      </c>
      <c r="DQ104" s="173" t="str">
        <f t="shared" si="74"/>
        <v>(Awar) 0</v>
      </c>
      <c r="DR104" s="36" t="str">
        <f t="shared" si="75"/>
        <v/>
      </c>
      <c r="DS104" s="37" t="str">
        <f t="shared" si="76"/>
        <v/>
      </c>
      <c r="DV104" s="176">
        <f t="shared" si="67"/>
        <v>0</v>
      </c>
      <c r="DW104" s="243">
        <f>IF(COUNTIF('Char Sheet p1'!$AP$7:$AP$35,DQ104)=0,0,ROUNDDOWN(SUMIF('Char Sheet p1'!$AP$7:$AP$35,DQ104,'Char Sheet p1'!$AQ$7:$AQ$35)/10,0))</f>
        <v>0</v>
      </c>
      <c r="DX104" s="240">
        <f t="shared" si="77"/>
        <v>0</v>
      </c>
      <c r="DY104" s="36">
        <f t="shared" si="83"/>
        <v>25</v>
      </c>
      <c r="DZ104" s="36" t="str">
        <f t="shared" si="68"/>
        <v/>
      </c>
      <c r="EE104" s="36">
        <f t="shared" si="82"/>
        <v>3</v>
      </c>
    </row>
    <row r="105" spans="3:135">
      <c r="C105" s="32"/>
      <c r="D105" s="171"/>
      <c r="E105" s="34"/>
      <c r="F105" s="155" t="str">
        <f t="shared" ref="F105:F114" si="93">IF(D105="","",VLOOKUP(D105,weapontypes,2,FALSE)-E105+IF(COUNTIF(qualities,$AG$155)=0,0,E105))</f>
        <v/>
      </c>
      <c r="G105" s="173"/>
      <c r="H105" s="31" t="str">
        <f t="shared" ca="1" si="43"/>
        <v/>
      </c>
      <c r="I105" s="173" t="str">
        <f t="shared" si="44"/>
        <v>+B</v>
      </c>
      <c r="J105" s="39"/>
      <c r="K105" s="102"/>
      <c r="L105" s="31"/>
      <c r="M105" s="31"/>
      <c r="N105" s="31"/>
      <c r="O105" s="31"/>
      <c r="P105" s="31"/>
      <c r="Q105" s="31"/>
      <c r="R105" s="31"/>
      <c r="S105" s="31"/>
      <c r="T105" s="31"/>
      <c r="U105" s="168"/>
      <c r="V105" s="36"/>
      <c r="W105" s="36"/>
      <c r="X105" s="36" t="str">
        <f t="shared" ca="1" si="91"/>
        <v/>
      </c>
      <c r="Y105" s="36" t="str">
        <f t="shared" ca="1" si="45"/>
        <v/>
      </c>
      <c r="Z105" s="176"/>
      <c r="AA105" s="176" t="str">
        <f t="shared" si="92"/>
        <v/>
      </c>
      <c r="AB105" s="176" t="str">
        <f t="shared" si="46"/>
        <v/>
      </c>
      <c r="AC105" s="176">
        <f t="shared" si="47"/>
        <v>10</v>
      </c>
      <c r="AD105" s="176">
        <f t="shared" si="48"/>
        <v>10</v>
      </c>
      <c r="AG105" s="32" t="s">
        <v>788</v>
      </c>
      <c r="AH105" s="34" t="s">
        <v>789</v>
      </c>
      <c r="AI105" s="34" t="s">
        <v>821</v>
      </c>
      <c r="AJ105" s="31"/>
      <c r="AK105" s="31"/>
      <c r="AL105" s="31" t="str">
        <f t="shared" si="84"/>
        <v/>
      </c>
      <c r="AM105" s="31">
        <f ca="1">N(AND(will&gt;2,SUMIF(wilspec,"Dedication",wilspecval)&gt;0))</f>
        <v>0</v>
      </c>
      <c r="AN105" s="31">
        <f t="shared" si="78"/>
        <v>104</v>
      </c>
      <c r="AO105" s="35" t="s">
        <v>814</v>
      </c>
      <c r="AP105" s="134"/>
      <c r="AQ105" s="47"/>
      <c r="AR105" s="134"/>
      <c r="AS105" s="47"/>
      <c r="AT105" s="134"/>
      <c r="AU105" s="47"/>
      <c r="AV105" s="134"/>
      <c r="AW105" s="47"/>
      <c r="AX105" s="134"/>
      <c r="AY105" s="47"/>
      <c r="AZ105" s="134"/>
      <c r="BA105" s="47"/>
      <c r="BB105" s="134"/>
      <c r="BC105" s="47"/>
      <c r="BD105" s="134"/>
      <c r="BE105" s="47"/>
      <c r="BF105" s="134"/>
      <c r="BG105" s="47"/>
      <c r="BH105" s="134"/>
      <c r="BI105" s="47"/>
      <c r="BJ105" s="134"/>
      <c r="BK105" s="47"/>
      <c r="BL105" s="134"/>
      <c r="BM105" s="47"/>
      <c r="BN105" s="134"/>
      <c r="BO105" s="47"/>
      <c r="BP105" s="134"/>
      <c r="BQ105" s="47"/>
      <c r="BR105" s="134"/>
      <c r="BS105" s="47"/>
      <c r="BT105" s="134"/>
      <c r="BU105" s="47"/>
      <c r="BV105" s="134"/>
      <c r="BW105" s="47"/>
      <c r="BX105" s="134"/>
      <c r="BY105" s="47"/>
      <c r="BZ105" s="134"/>
      <c r="CA105" s="47"/>
      <c r="CB105" s="120"/>
      <c r="CC105" s="120"/>
      <c r="CD105" s="120"/>
      <c r="CE105" s="120"/>
      <c r="CF105" s="120"/>
      <c r="CG105" s="120"/>
      <c r="CH105" s="120"/>
      <c r="CI105" s="120"/>
      <c r="CJ105" s="120"/>
      <c r="CK105" s="179" t="str">
        <f t="shared" ca="1" si="55"/>
        <v/>
      </c>
      <c r="CL105" s="37" t="str">
        <f t="shared" ca="1" si="85"/>
        <v/>
      </c>
      <c r="CM105" s="36" t="str">
        <f t="shared" ca="1" si="71"/>
        <v/>
      </c>
      <c r="CN105" s="37" t="str">
        <f ca="1">IF($AN105&gt;CN$1,"",INDEX($AG$2:$AG$226,SMALL(CM$2:$CM$226,$AN105),1))</f>
        <v/>
      </c>
      <c r="CO105" s="36" t="str">
        <f t="shared" ca="1" si="72"/>
        <v/>
      </c>
      <c r="CP105" s="37" t="str">
        <f t="shared" ca="1" si="73"/>
        <v/>
      </c>
      <c r="CS105" s="28" t="str">
        <f t="shared" ca="1" si="57"/>
        <v/>
      </c>
      <c r="CT105" s="37" t="str">
        <f t="shared" ca="1" si="86"/>
        <v/>
      </c>
      <c r="CU105" s="28" t="str">
        <f t="shared" ca="1" si="57"/>
        <v/>
      </c>
      <c r="CV105" s="37" t="str">
        <f t="shared" ca="1" si="87"/>
        <v/>
      </c>
      <c r="CW105" s="28" t="str">
        <f t="shared" ca="1" si="60"/>
        <v/>
      </c>
      <c r="CX105" s="37" t="str">
        <f t="shared" ca="1" si="88"/>
        <v/>
      </c>
      <c r="CY105" s="28" t="str">
        <f t="shared" ca="1" si="62"/>
        <v/>
      </c>
      <c r="CZ105" s="37" t="str">
        <f t="shared" ca="1" si="88"/>
        <v/>
      </c>
      <c r="DA105" s="28" t="str">
        <f t="shared" ca="1" si="63"/>
        <v/>
      </c>
      <c r="DB105" s="37" t="str">
        <f t="shared" ca="1" si="89"/>
        <v/>
      </c>
      <c r="DC105" s="28" t="str">
        <f t="shared" ca="1" si="65"/>
        <v/>
      </c>
      <c r="DD105" s="37" t="str">
        <f t="shared" ca="1" si="90"/>
        <v/>
      </c>
      <c r="DN105" s="32">
        <v>104</v>
      </c>
      <c r="DO105" s="34" t="s">
        <v>658</v>
      </c>
      <c r="DP105" s="38">
        <f t="shared" si="81"/>
        <v>0</v>
      </c>
      <c r="DQ105" s="173" t="str">
        <f t="shared" si="74"/>
        <v>(Awar) 0</v>
      </c>
      <c r="DR105" s="36" t="str">
        <f t="shared" si="75"/>
        <v/>
      </c>
      <c r="DS105" s="37" t="str">
        <f t="shared" si="76"/>
        <v/>
      </c>
      <c r="DV105" s="176">
        <f t="shared" si="67"/>
        <v>0</v>
      </c>
      <c r="DW105" s="243">
        <f>IF(COUNTIF('Char Sheet p1'!$AP$7:$AP$35,DQ105)=0,0,ROUNDDOWN(SUMIF('Char Sheet p1'!$AP$7:$AP$35,DQ105,'Char Sheet p1'!$AQ$7:$AQ$35)/10,0))</f>
        <v>0</v>
      </c>
      <c r="DX105" s="240">
        <f t="shared" si="77"/>
        <v>0</v>
      </c>
      <c r="DY105" s="36">
        <f t="shared" si="83"/>
        <v>26</v>
      </c>
      <c r="DZ105" s="36" t="str">
        <f t="shared" si="68"/>
        <v/>
      </c>
      <c r="EE105" s="55">
        <f t="shared" si="82"/>
        <v>3</v>
      </c>
    </row>
    <row r="106" spans="3:135">
      <c r="C106" s="32"/>
      <c r="D106" s="171"/>
      <c r="E106" s="34"/>
      <c r="F106" s="155" t="str">
        <f t="shared" si="93"/>
        <v/>
      </c>
      <c r="G106" s="173"/>
      <c r="H106" s="31" t="str">
        <f t="shared" ref="H106:H114" ca="1" si="94">IF(C106="","",INDIRECT(G106)+IF(F106&lt;0,F106,0))</f>
        <v/>
      </c>
      <c r="I106" s="173" t="str">
        <f t="shared" ref="I106:I114" si="95">IF(F106&lt;1,"","+"&amp;F106&amp;"B")</f>
        <v>+B</v>
      </c>
      <c r="J106" s="39"/>
      <c r="K106" s="102"/>
      <c r="L106" s="31"/>
      <c r="M106" s="31"/>
      <c r="N106" s="31"/>
      <c r="O106" s="31"/>
      <c r="P106" s="31"/>
      <c r="Q106" s="31"/>
      <c r="R106" s="31"/>
      <c r="S106" s="31"/>
      <c r="T106" s="31"/>
      <c r="U106" s="168"/>
      <c r="V106" s="36"/>
      <c r="W106" s="36"/>
      <c r="X106" s="36" t="str">
        <f t="shared" ca="1" si="91"/>
        <v/>
      </c>
      <c r="Y106" s="36" t="str">
        <f t="shared" ref="Y106:Y114" ca="1" si="96">IF(W106="","",R106+AC106+AD106+MAX(INDIRECT(W106)+X106,1))</f>
        <v/>
      </c>
      <c r="Z106" s="176"/>
      <c r="AA106" s="176" t="str">
        <f t="shared" si="92"/>
        <v/>
      </c>
      <c r="AB106" s="176" t="str">
        <f t="shared" ref="AB106:AB114" si="97">IF(AA106="","",LEFT(AA106,LEN(AA106)-2))</f>
        <v/>
      </c>
      <c r="AC106" s="176">
        <f t="shared" ref="AC106:AC114" si="98">COUNTIF($AE$41:$AE$50,C106)</f>
        <v>10</v>
      </c>
      <c r="AD106" s="176">
        <f t="shared" ref="AD106:AD114" si="99">COUNTIF($AE$52:$AE$61,C106)</f>
        <v>10</v>
      </c>
      <c r="AG106" s="32" t="s">
        <v>854</v>
      </c>
      <c r="AH106" s="34" t="s">
        <v>880</v>
      </c>
      <c r="AI106" s="34" t="s">
        <v>927</v>
      </c>
      <c r="AJ106" s="31"/>
      <c r="AK106" s="31"/>
      <c r="AL106" s="31" t="str">
        <f t="shared" si="84"/>
        <v/>
      </c>
      <c r="AM106" s="31">
        <f ca="1">N(AND(fighting&gt;3,SUMIF(figspec,"Pole-Arms",figspecval)&gt;1))</f>
        <v>0</v>
      </c>
      <c r="AN106" s="31">
        <f t="shared" si="78"/>
        <v>105</v>
      </c>
      <c r="AO106" s="35" t="s">
        <v>105</v>
      </c>
      <c r="AP106" s="134"/>
      <c r="AQ106" s="47"/>
      <c r="AR106" s="134"/>
      <c r="AS106" s="47"/>
      <c r="AT106" s="134"/>
      <c r="AU106" s="47"/>
      <c r="AV106" s="134"/>
      <c r="AW106" s="47"/>
      <c r="AX106" s="134"/>
      <c r="AY106" s="47"/>
      <c r="AZ106" s="134"/>
      <c r="BA106" s="47"/>
      <c r="BB106" s="134"/>
      <c r="BC106" s="47"/>
      <c r="BD106" s="134"/>
      <c r="BE106" s="47"/>
      <c r="BF106" s="134"/>
      <c r="BG106" s="47"/>
      <c r="BH106" s="134"/>
      <c r="BI106" s="47"/>
      <c r="BJ106" s="134"/>
      <c r="BK106" s="47"/>
      <c r="BL106" s="134"/>
      <c r="BM106" s="47"/>
      <c r="BN106" s="134"/>
      <c r="BO106" s="47"/>
      <c r="BP106" s="134"/>
      <c r="BQ106" s="47"/>
      <c r="BR106" s="134"/>
      <c r="BS106" s="47"/>
      <c r="BT106" s="134"/>
      <c r="BU106" s="47"/>
      <c r="BV106" s="134"/>
      <c r="BW106" s="47"/>
      <c r="BX106" s="134"/>
      <c r="BY106" s="47"/>
      <c r="BZ106" s="134"/>
      <c r="CA106" s="47"/>
      <c r="CB106" s="120"/>
      <c r="CC106" s="120"/>
      <c r="CD106" s="120"/>
      <c r="CE106" s="120"/>
      <c r="CF106" s="120"/>
      <c r="CG106" s="120"/>
      <c r="CH106" s="120"/>
      <c r="CI106" s="120"/>
      <c r="CJ106" s="120"/>
      <c r="CK106" s="179" t="str">
        <f t="shared" ca="1" si="55"/>
        <v/>
      </c>
      <c r="CL106" s="37" t="str">
        <f t="shared" ca="1" si="85"/>
        <v/>
      </c>
      <c r="CM106" s="36" t="str">
        <f t="shared" ca="1" si="71"/>
        <v/>
      </c>
      <c r="CN106" s="37" t="str">
        <f ca="1">IF($AN106&gt;CN$1,"",INDEX($AG$2:$AG$226,SMALL(CM$2:$CM$226,$AN106),1))</f>
        <v/>
      </c>
      <c r="CO106" s="36" t="str">
        <f t="shared" ca="1" si="72"/>
        <v/>
      </c>
      <c r="CP106" s="37" t="str">
        <f t="shared" ca="1" si="73"/>
        <v/>
      </c>
      <c r="CS106" s="28" t="str">
        <f t="shared" ca="1" si="57"/>
        <v/>
      </c>
      <c r="CT106" s="37" t="str">
        <f t="shared" ca="1" si="86"/>
        <v/>
      </c>
      <c r="CU106" s="28" t="str">
        <f t="shared" ca="1" si="57"/>
        <v/>
      </c>
      <c r="CV106" s="37" t="str">
        <f t="shared" ca="1" si="87"/>
        <v/>
      </c>
      <c r="CW106" s="28" t="str">
        <f t="shared" ca="1" si="60"/>
        <v/>
      </c>
      <c r="CX106" s="37" t="str">
        <f t="shared" ca="1" si="88"/>
        <v/>
      </c>
      <c r="CY106" s="28" t="str">
        <f t="shared" ca="1" si="62"/>
        <v/>
      </c>
      <c r="CZ106" s="37" t="str">
        <f t="shared" ca="1" si="88"/>
        <v/>
      </c>
      <c r="DA106" s="28" t="str">
        <f t="shared" ca="1" si="63"/>
        <v/>
      </c>
      <c r="DB106" s="37" t="str">
        <f t="shared" ca="1" si="89"/>
        <v/>
      </c>
      <c r="DC106" s="28" t="str">
        <f t="shared" ca="1" si="65"/>
        <v/>
      </c>
      <c r="DD106" s="37" t="str">
        <f t="shared" ca="1" si="90"/>
        <v/>
      </c>
      <c r="DN106" s="32">
        <v>105</v>
      </c>
      <c r="DO106" s="34" t="s">
        <v>661</v>
      </c>
      <c r="DP106" s="38" t="str">
        <f t="shared" ref="DP106:DP131" si="100">P2</f>
        <v>Decipher</v>
      </c>
      <c r="DQ106" s="173" t="str">
        <f t="shared" si="74"/>
        <v>(Cunn) Decipher</v>
      </c>
      <c r="DR106" s="36">
        <f t="shared" si="75"/>
        <v>105</v>
      </c>
      <c r="DS106" s="37" t="str">
        <f t="shared" si="76"/>
        <v/>
      </c>
      <c r="DV106" s="176">
        <f t="shared" si="67"/>
        <v>0</v>
      </c>
      <c r="DW106" s="243">
        <f>IF(COUNTIF('Char Sheet p1'!$AP$7:$AP$35,DQ106)=0,0,ROUNDDOWN(SUMIF('Char Sheet p1'!$AP$7:$AP$35,DQ106,'Char Sheet p1'!$AQ$7:$AQ$35)/10,0))</f>
        <v>0</v>
      </c>
      <c r="DX106" s="240">
        <f t="shared" si="77"/>
        <v>0</v>
      </c>
      <c r="DY106" s="36">
        <v>1</v>
      </c>
      <c r="DZ106" s="36" t="str">
        <f t="shared" si="68"/>
        <v/>
      </c>
      <c r="EE106" s="245">
        <f>'Char Sheet p1'!B18</f>
        <v>2</v>
      </c>
    </row>
    <row r="107" spans="3:135">
      <c r="C107" s="32"/>
      <c r="D107" s="171"/>
      <c r="E107" s="34"/>
      <c r="F107" s="155" t="str">
        <f t="shared" si="93"/>
        <v/>
      </c>
      <c r="G107" s="173"/>
      <c r="H107" s="31" t="str">
        <f t="shared" ca="1" si="94"/>
        <v/>
      </c>
      <c r="I107" s="173" t="str">
        <f t="shared" si="95"/>
        <v>+B</v>
      </c>
      <c r="J107" s="39"/>
      <c r="K107" s="102"/>
      <c r="L107" s="31"/>
      <c r="M107" s="31"/>
      <c r="N107" s="31"/>
      <c r="O107" s="31"/>
      <c r="P107" s="31"/>
      <c r="Q107" s="31"/>
      <c r="R107" s="31"/>
      <c r="S107" s="31"/>
      <c r="T107" s="31"/>
      <c r="U107" s="168"/>
      <c r="V107" s="36"/>
      <c r="W107" s="36"/>
      <c r="X107" s="36" t="str">
        <f t="shared" ca="1" si="91"/>
        <v/>
      </c>
      <c r="Y107" s="36" t="str">
        <f t="shared" ca="1" si="96"/>
        <v/>
      </c>
      <c r="Z107" s="176"/>
      <c r="AA107" s="176" t="str">
        <f t="shared" si="92"/>
        <v/>
      </c>
      <c r="AB107" s="176" t="str">
        <f t="shared" si="97"/>
        <v/>
      </c>
      <c r="AC107" s="176">
        <f t="shared" si="98"/>
        <v>10</v>
      </c>
      <c r="AD107" s="176">
        <f t="shared" si="99"/>
        <v>10</v>
      </c>
      <c r="AG107" s="32" t="s">
        <v>899</v>
      </c>
      <c r="AH107" s="34" t="s">
        <v>880</v>
      </c>
      <c r="AI107" s="34" t="s">
        <v>854</v>
      </c>
      <c r="AJ107" s="31"/>
      <c r="AK107" s="31"/>
      <c r="AL107" s="31" t="str">
        <f t="shared" si="84"/>
        <v/>
      </c>
      <c r="AM107" s="31">
        <f>COUNTIF(qualities,"Pole-Arm Fighter I")</f>
        <v>0</v>
      </c>
      <c r="AN107" s="31">
        <f t="shared" si="78"/>
        <v>106</v>
      </c>
      <c r="AO107" s="35" t="s">
        <v>106</v>
      </c>
      <c r="AP107" s="134"/>
      <c r="AQ107" s="47"/>
      <c r="AR107" s="134"/>
      <c r="AS107" s="47"/>
      <c r="AT107" s="134"/>
      <c r="AU107" s="47"/>
      <c r="AV107" s="134"/>
      <c r="AW107" s="47"/>
      <c r="AX107" s="134"/>
      <c r="AY107" s="47"/>
      <c r="AZ107" s="134"/>
      <c r="BA107" s="47"/>
      <c r="BB107" s="134"/>
      <c r="BC107" s="47"/>
      <c r="BD107" s="134"/>
      <c r="BE107" s="47"/>
      <c r="BF107" s="134"/>
      <c r="BG107" s="47"/>
      <c r="BH107" s="134"/>
      <c r="BI107" s="47"/>
      <c r="BJ107" s="134"/>
      <c r="BK107" s="47"/>
      <c r="BL107" s="134"/>
      <c r="BM107" s="47"/>
      <c r="BN107" s="134"/>
      <c r="BO107" s="47"/>
      <c r="BP107" s="134"/>
      <c r="BQ107" s="47"/>
      <c r="BR107" s="134"/>
      <c r="BS107" s="47"/>
      <c r="BT107" s="134"/>
      <c r="BU107" s="47"/>
      <c r="BV107" s="134"/>
      <c r="BW107" s="47"/>
      <c r="BX107" s="134"/>
      <c r="BY107" s="47"/>
      <c r="BZ107" s="134"/>
      <c r="CA107" s="47"/>
      <c r="CB107" s="120"/>
      <c r="CC107" s="120"/>
      <c r="CD107" s="120"/>
      <c r="CE107" s="120"/>
      <c r="CF107" s="120"/>
      <c r="CG107" s="120"/>
      <c r="CH107" s="120"/>
      <c r="CI107" s="120"/>
      <c r="CJ107" s="120"/>
      <c r="CK107" s="179" t="str">
        <f t="shared" si="55"/>
        <v/>
      </c>
      <c r="CL107" s="37" t="str">
        <f t="shared" ca="1" si="85"/>
        <v/>
      </c>
      <c r="CM107" s="36" t="str">
        <f t="shared" si="71"/>
        <v/>
      </c>
      <c r="CN107" s="37" t="str">
        <f ca="1">IF($AN107&gt;CN$1,"",INDEX($AG$2:$AG$226,SMALL(CM$2:$CM$226,$AN107),1))</f>
        <v/>
      </c>
      <c r="CO107" s="36" t="str">
        <f t="shared" si="72"/>
        <v/>
      </c>
      <c r="CP107" s="37" t="str">
        <f t="shared" ca="1" si="73"/>
        <v/>
      </c>
      <c r="CS107" s="28" t="str">
        <f t="shared" si="57"/>
        <v/>
      </c>
      <c r="CT107" s="37" t="str">
        <f t="shared" ca="1" si="86"/>
        <v/>
      </c>
      <c r="CU107" s="28" t="str">
        <f t="shared" si="57"/>
        <v/>
      </c>
      <c r="CV107" s="37" t="str">
        <f t="shared" ca="1" si="87"/>
        <v/>
      </c>
      <c r="CW107" s="28" t="str">
        <f t="shared" si="60"/>
        <v/>
      </c>
      <c r="CX107" s="37" t="str">
        <f t="shared" ca="1" si="88"/>
        <v/>
      </c>
      <c r="CY107" s="28" t="str">
        <f t="shared" si="62"/>
        <v/>
      </c>
      <c r="CZ107" s="37" t="str">
        <f t="shared" ca="1" si="88"/>
        <v/>
      </c>
      <c r="DA107" s="28" t="str">
        <f t="shared" si="63"/>
        <v/>
      </c>
      <c r="DB107" s="37" t="str">
        <f t="shared" ca="1" si="89"/>
        <v/>
      </c>
      <c r="DC107" s="28" t="str">
        <f t="shared" si="65"/>
        <v/>
      </c>
      <c r="DD107" s="37" t="str">
        <f t="shared" ca="1" si="90"/>
        <v/>
      </c>
      <c r="DN107" s="32">
        <v>106</v>
      </c>
      <c r="DO107" s="34" t="s">
        <v>661</v>
      </c>
      <c r="DP107" s="38" t="str">
        <f t="shared" si="100"/>
        <v>Logic</v>
      </c>
      <c r="DQ107" s="173" t="str">
        <f t="shared" si="74"/>
        <v>(Cunn) Logic</v>
      </c>
      <c r="DR107" s="36">
        <f t="shared" si="75"/>
        <v>106</v>
      </c>
      <c r="DS107" s="37" t="str">
        <f t="shared" si="76"/>
        <v/>
      </c>
      <c r="DV107" s="176">
        <f t="shared" si="67"/>
        <v>0</v>
      </c>
      <c r="DW107" s="243">
        <f>IF(COUNTIF('Char Sheet p1'!$AP$7:$AP$35,DQ107)=0,0,ROUNDDOWN(SUMIF('Char Sheet p1'!$AP$7:$AP$35,DQ107,'Char Sheet p1'!$AQ$7:$AQ$35)/10,0))</f>
        <v>0</v>
      </c>
      <c r="DX107" s="240">
        <f t="shared" si="77"/>
        <v>0</v>
      </c>
      <c r="DY107" s="36">
        <v>2</v>
      </c>
      <c r="DZ107" s="36" t="str">
        <f t="shared" si="68"/>
        <v/>
      </c>
      <c r="EE107" s="36">
        <f>EE106</f>
        <v>2</v>
      </c>
    </row>
    <row r="108" spans="3:135">
      <c r="C108" s="32"/>
      <c r="D108" s="171"/>
      <c r="E108" s="34"/>
      <c r="F108" s="155" t="str">
        <f t="shared" si="93"/>
        <v/>
      </c>
      <c r="G108" s="173"/>
      <c r="H108" s="31" t="str">
        <f t="shared" ca="1" si="94"/>
        <v/>
      </c>
      <c r="I108" s="173" t="str">
        <f t="shared" si="95"/>
        <v>+B</v>
      </c>
      <c r="J108" s="39"/>
      <c r="K108" s="102"/>
      <c r="L108" s="31"/>
      <c r="M108" s="31"/>
      <c r="N108" s="31"/>
      <c r="O108" s="31"/>
      <c r="P108" s="31"/>
      <c r="Q108" s="31"/>
      <c r="R108" s="31"/>
      <c r="S108" s="31"/>
      <c r="T108" s="31"/>
      <c r="U108" s="168"/>
      <c r="V108" s="36"/>
      <c r="W108" s="36"/>
      <c r="X108" s="36" t="str">
        <f t="shared" ca="1" si="91"/>
        <v/>
      </c>
      <c r="Y108" s="36" t="str">
        <f t="shared" ca="1" si="96"/>
        <v/>
      </c>
      <c r="Z108" s="176"/>
      <c r="AA108" s="176" t="str">
        <f t="shared" si="92"/>
        <v/>
      </c>
      <c r="AB108" s="176" t="str">
        <f t="shared" si="97"/>
        <v/>
      </c>
      <c r="AC108" s="176">
        <f t="shared" si="98"/>
        <v>10</v>
      </c>
      <c r="AD108" s="176">
        <f t="shared" si="99"/>
        <v>10</v>
      </c>
      <c r="AG108" s="32" t="s">
        <v>900</v>
      </c>
      <c r="AH108" s="34" t="s">
        <v>880</v>
      </c>
      <c r="AI108" s="34" t="s">
        <v>928</v>
      </c>
      <c r="AJ108" s="31"/>
      <c r="AK108" s="31"/>
      <c r="AL108" s="31" t="str">
        <f t="shared" si="84"/>
        <v/>
      </c>
      <c r="AM108" s="31">
        <f>N(AND(fighting&gt;4,COUNTIF(qualities,"Pole-Arm Fighter II")&gt;0))</f>
        <v>0</v>
      </c>
      <c r="AN108" s="31">
        <f t="shared" si="78"/>
        <v>107</v>
      </c>
      <c r="AO108" s="35" t="s">
        <v>107</v>
      </c>
      <c r="AP108" s="134"/>
      <c r="AQ108" s="47"/>
      <c r="AR108" s="134"/>
      <c r="AS108" s="47"/>
      <c r="AT108" s="134"/>
      <c r="AU108" s="47"/>
      <c r="AV108" s="134"/>
      <c r="AW108" s="47"/>
      <c r="AX108" s="134"/>
      <c r="AY108" s="47"/>
      <c r="AZ108" s="134"/>
      <c r="BA108" s="47"/>
      <c r="BB108" s="134"/>
      <c r="BC108" s="47"/>
      <c r="BD108" s="134"/>
      <c r="BE108" s="47"/>
      <c r="BF108" s="134"/>
      <c r="BG108" s="47"/>
      <c r="BH108" s="134"/>
      <c r="BI108" s="47"/>
      <c r="BJ108" s="134"/>
      <c r="BK108" s="47"/>
      <c r="BL108" s="134"/>
      <c r="BM108" s="47"/>
      <c r="BN108" s="134"/>
      <c r="BO108" s="47"/>
      <c r="BP108" s="134"/>
      <c r="BQ108" s="47"/>
      <c r="BR108" s="134"/>
      <c r="BS108" s="47"/>
      <c r="BT108" s="134"/>
      <c r="BU108" s="47"/>
      <c r="BV108" s="134"/>
      <c r="BW108" s="47"/>
      <c r="BX108" s="134"/>
      <c r="BY108" s="47"/>
      <c r="BZ108" s="134"/>
      <c r="CA108" s="47"/>
      <c r="CB108" s="120"/>
      <c r="CC108" s="120"/>
      <c r="CD108" s="120"/>
      <c r="CE108" s="120"/>
      <c r="CF108" s="120"/>
      <c r="CG108" s="120"/>
      <c r="CH108" s="120"/>
      <c r="CI108" s="120"/>
      <c r="CJ108" s="120"/>
      <c r="CK108" s="179" t="str">
        <f t="shared" si="55"/>
        <v/>
      </c>
      <c r="CL108" s="37" t="str">
        <f t="shared" ca="1" si="85"/>
        <v/>
      </c>
      <c r="CM108" s="36" t="str">
        <f t="shared" si="71"/>
        <v/>
      </c>
      <c r="CN108" s="37" t="str">
        <f ca="1">IF($AN108&gt;CN$1,"",INDEX($AG$2:$AG$226,SMALL(CM$2:$CM$226,$AN108),1))</f>
        <v/>
      </c>
      <c r="CO108" s="36" t="str">
        <f t="shared" si="72"/>
        <v/>
      </c>
      <c r="CP108" s="37" t="str">
        <f t="shared" ca="1" si="73"/>
        <v/>
      </c>
      <c r="CS108" s="28" t="str">
        <f t="shared" si="57"/>
        <v/>
      </c>
      <c r="CT108" s="37" t="str">
        <f t="shared" ca="1" si="86"/>
        <v/>
      </c>
      <c r="CU108" s="28" t="str">
        <f t="shared" si="57"/>
        <v/>
      </c>
      <c r="CV108" s="37" t="str">
        <f t="shared" ca="1" si="87"/>
        <v/>
      </c>
      <c r="CW108" s="28" t="str">
        <f t="shared" si="60"/>
        <v/>
      </c>
      <c r="CX108" s="37" t="str">
        <f t="shared" ca="1" si="88"/>
        <v/>
      </c>
      <c r="CY108" s="28" t="str">
        <f t="shared" si="62"/>
        <v/>
      </c>
      <c r="CZ108" s="37" t="str">
        <f t="shared" ca="1" si="88"/>
        <v/>
      </c>
      <c r="DA108" s="28" t="str">
        <f t="shared" si="63"/>
        <v/>
      </c>
      <c r="DB108" s="37" t="str">
        <f t="shared" ca="1" si="89"/>
        <v/>
      </c>
      <c r="DC108" s="28" t="str">
        <f t="shared" si="65"/>
        <v/>
      </c>
      <c r="DD108" s="37" t="str">
        <f t="shared" ca="1" si="90"/>
        <v/>
      </c>
      <c r="DN108" s="32">
        <v>107</v>
      </c>
      <c r="DO108" s="34" t="s">
        <v>661</v>
      </c>
      <c r="DP108" s="38" t="str">
        <f t="shared" si="100"/>
        <v>Memory</v>
      </c>
      <c r="DQ108" s="173" t="str">
        <f t="shared" si="74"/>
        <v>(Cunn) Memory</v>
      </c>
      <c r="DR108" s="36">
        <f t="shared" si="75"/>
        <v>107</v>
      </c>
      <c r="DS108" s="37" t="str">
        <f t="shared" si="76"/>
        <v/>
      </c>
      <c r="DV108" s="176">
        <f t="shared" si="67"/>
        <v>0</v>
      </c>
      <c r="DW108" s="243">
        <f>IF(COUNTIF('Char Sheet p1'!$AP$7:$AP$35,DQ108)=0,0,ROUNDDOWN(SUMIF('Char Sheet p1'!$AP$7:$AP$35,DQ108,'Char Sheet p1'!$AQ$7:$AQ$35)/10,0))</f>
        <v>0</v>
      </c>
      <c r="DX108" s="240">
        <f t="shared" si="77"/>
        <v>0</v>
      </c>
      <c r="DY108" s="36">
        <v>3</v>
      </c>
      <c r="DZ108" s="36" t="str">
        <f t="shared" si="68"/>
        <v/>
      </c>
      <c r="EE108" s="36">
        <f t="shared" ref="EE108:EE131" si="101">EE107</f>
        <v>2</v>
      </c>
    </row>
    <row r="109" spans="3:135">
      <c r="C109" s="32"/>
      <c r="D109" s="171"/>
      <c r="E109" s="34"/>
      <c r="F109" s="155" t="str">
        <f t="shared" si="93"/>
        <v/>
      </c>
      <c r="G109" s="173"/>
      <c r="H109" s="31" t="str">
        <f t="shared" ca="1" si="94"/>
        <v/>
      </c>
      <c r="I109" s="173" t="str">
        <f t="shared" si="95"/>
        <v>+B</v>
      </c>
      <c r="J109" s="39"/>
      <c r="K109" s="102"/>
      <c r="L109" s="31"/>
      <c r="M109" s="31"/>
      <c r="N109" s="31"/>
      <c r="O109" s="31"/>
      <c r="P109" s="31"/>
      <c r="Q109" s="31"/>
      <c r="R109" s="31"/>
      <c r="S109" s="31"/>
      <c r="T109" s="31"/>
      <c r="U109" s="168"/>
      <c r="V109" s="36"/>
      <c r="W109" s="36"/>
      <c r="X109" s="36" t="str">
        <f t="shared" ca="1" si="91"/>
        <v/>
      </c>
      <c r="Y109" s="36" t="str">
        <f t="shared" ca="1" si="96"/>
        <v/>
      </c>
      <c r="Z109" s="176"/>
      <c r="AA109" s="176" t="str">
        <f t="shared" si="92"/>
        <v/>
      </c>
      <c r="AB109" s="176" t="str">
        <f t="shared" si="97"/>
        <v/>
      </c>
      <c r="AC109" s="176">
        <f t="shared" si="98"/>
        <v>10</v>
      </c>
      <c r="AD109" s="176">
        <f t="shared" si="99"/>
        <v>10</v>
      </c>
      <c r="AG109" s="32" t="s">
        <v>769</v>
      </c>
      <c r="AH109" s="34" t="s">
        <v>773</v>
      </c>
      <c r="AI109" s="34" t="s">
        <v>804</v>
      </c>
      <c r="AJ109" s="31"/>
      <c r="AK109" s="31"/>
      <c r="AL109" s="31" t="str">
        <f t="shared" si="84"/>
        <v/>
      </c>
      <c r="AM109" s="31">
        <f ca="1">N(AND(cunning&gt;3,SUMIF(cunspec,"Decipher",cunspecval)&gt;0))</f>
        <v>0</v>
      </c>
      <c r="AN109" s="31">
        <f t="shared" si="78"/>
        <v>108</v>
      </c>
      <c r="AO109" s="35" t="s">
        <v>108</v>
      </c>
      <c r="AP109" s="134"/>
      <c r="AQ109" s="47"/>
      <c r="AR109" s="134"/>
      <c r="AS109" s="47"/>
      <c r="AT109" s="134"/>
      <c r="AU109" s="47"/>
      <c r="AV109" s="134"/>
      <c r="AW109" s="47"/>
      <c r="AX109" s="134"/>
      <c r="AY109" s="47"/>
      <c r="AZ109" s="134"/>
      <c r="BA109" s="47"/>
      <c r="BB109" s="134"/>
      <c r="BC109" s="47"/>
      <c r="BD109" s="134"/>
      <c r="BE109" s="47"/>
      <c r="BF109" s="134"/>
      <c r="BG109" s="47"/>
      <c r="BH109" s="134"/>
      <c r="BI109" s="47"/>
      <c r="BJ109" s="134"/>
      <c r="BK109" s="47"/>
      <c r="BL109" s="134"/>
      <c r="BM109" s="47"/>
      <c r="BN109" s="134"/>
      <c r="BO109" s="47"/>
      <c r="BP109" s="134"/>
      <c r="BQ109" s="47"/>
      <c r="BR109" s="134"/>
      <c r="BS109" s="47"/>
      <c r="BT109" s="134"/>
      <c r="BU109" s="47"/>
      <c r="BV109" s="134"/>
      <c r="BW109" s="47"/>
      <c r="BX109" s="134"/>
      <c r="BY109" s="47"/>
      <c r="BZ109" s="134"/>
      <c r="CA109" s="47"/>
      <c r="CB109" s="120"/>
      <c r="CC109" s="120"/>
      <c r="CD109" s="120"/>
      <c r="CE109" s="120"/>
      <c r="CF109" s="120"/>
      <c r="CG109" s="120"/>
      <c r="CH109" s="120"/>
      <c r="CI109" s="120"/>
      <c r="CJ109" s="120"/>
      <c r="CK109" s="179" t="str">
        <f t="shared" ca="1" si="55"/>
        <v/>
      </c>
      <c r="CL109" s="37" t="str">
        <f t="shared" ca="1" si="85"/>
        <v/>
      </c>
      <c r="CM109" s="36" t="str">
        <f t="shared" ca="1" si="71"/>
        <v/>
      </c>
      <c r="CN109" s="37" t="str">
        <f ca="1">IF($AN109&gt;CN$1,"",INDEX($AG$2:$AG$226,SMALL(CM$2:$CM$226,$AN109),1))</f>
        <v/>
      </c>
      <c r="CO109" s="36" t="str">
        <f t="shared" ca="1" si="72"/>
        <v/>
      </c>
      <c r="CP109" s="37" t="str">
        <f t="shared" ca="1" si="73"/>
        <v/>
      </c>
      <c r="CS109" s="28" t="str">
        <f t="shared" ca="1" si="57"/>
        <v/>
      </c>
      <c r="CT109" s="37" t="str">
        <f t="shared" ca="1" si="86"/>
        <v/>
      </c>
      <c r="CU109" s="28" t="str">
        <f t="shared" ca="1" si="57"/>
        <v/>
      </c>
      <c r="CV109" s="37" t="str">
        <f t="shared" ca="1" si="87"/>
        <v/>
      </c>
      <c r="CW109" s="28" t="str">
        <f t="shared" ca="1" si="60"/>
        <v/>
      </c>
      <c r="CX109" s="37" t="str">
        <f t="shared" ca="1" si="88"/>
        <v/>
      </c>
      <c r="CY109" s="28" t="str">
        <f t="shared" ca="1" si="62"/>
        <v/>
      </c>
      <c r="CZ109" s="37" t="str">
        <f t="shared" ca="1" si="88"/>
        <v/>
      </c>
      <c r="DA109" s="28" t="str">
        <f t="shared" ca="1" si="63"/>
        <v/>
      </c>
      <c r="DB109" s="37" t="str">
        <f t="shared" ca="1" si="89"/>
        <v/>
      </c>
      <c r="DC109" s="28" t="str">
        <f t="shared" ca="1" si="65"/>
        <v/>
      </c>
      <c r="DD109" s="37" t="str">
        <f t="shared" ca="1" si="90"/>
        <v/>
      </c>
      <c r="DN109" s="32">
        <v>108</v>
      </c>
      <c r="DO109" s="34" t="s">
        <v>661</v>
      </c>
      <c r="DP109" s="38">
        <f t="shared" si="100"/>
        <v>0</v>
      </c>
      <c r="DQ109" s="173" t="str">
        <f t="shared" si="74"/>
        <v>(Cunn) 0</v>
      </c>
      <c r="DR109" s="36" t="str">
        <f t="shared" si="75"/>
        <v/>
      </c>
      <c r="DS109" s="37" t="str">
        <f t="shared" si="76"/>
        <v/>
      </c>
      <c r="DV109" s="176">
        <f t="shared" si="67"/>
        <v>0</v>
      </c>
      <c r="DW109" s="243">
        <f>IF(COUNTIF('Char Sheet p1'!$AP$7:$AP$35,DQ109)=0,0,ROUNDDOWN(SUMIF('Char Sheet p1'!$AP$7:$AP$35,DQ109,'Char Sheet p1'!$AQ$7:$AQ$35)/10,0))</f>
        <v>0</v>
      </c>
      <c r="DX109" s="240">
        <f t="shared" si="77"/>
        <v>0</v>
      </c>
      <c r="DY109" s="36">
        <v>4</v>
      </c>
      <c r="DZ109" s="36" t="str">
        <f t="shared" si="68"/>
        <v/>
      </c>
      <c r="EE109" s="36">
        <f t="shared" si="101"/>
        <v>2</v>
      </c>
    </row>
    <row r="110" spans="3:135">
      <c r="C110" s="32"/>
      <c r="D110" s="171"/>
      <c r="E110" s="34"/>
      <c r="F110" s="155" t="str">
        <f t="shared" si="93"/>
        <v/>
      </c>
      <c r="G110" s="173"/>
      <c r="H110" s="31" t="str">
        <f t="shared" ca="1" si="94"/>
        <v/>
      </c>
      <c r="I110" s="173" t="str">
        <f t="shared" si="95"/>
        <v>+B</v>
      </c>
      <c r="J110" s="39"/>
      <c r="K110" s="102"/>
      <c r="L110" s="31"/>
      <c r="M110" s="31"/>
      <c r="N110" s="31"/>
      <c r="O110" s="31"/>
      <c r="P110" s="31"/>
      <c r="Q110" s="31"/>
      <c r="R110" s="31"/>
      <c r="S110" s="31"/>
      <c r="T110" s="31"/>
      <c r="U110" s="168"/>
      <c r="V110" s="36"/>
      <c r="W110" s="36"/>
      <c r="X110" s="36" t="str">
        <f t="shared" ca="1" si="91"/>
        <v/>
      </c>
      <c r="Y110" s="36" t="str">
        <f t="shared" ca="1" si="96"/>
        <v/>
      </c>
      <c r="Z110" s="176"/>
      <c r="AA110" s="176" t="str">
        <f t="shared" si="92"/>
        <v/>
      </c>
      <c r="AB110" s="176" t="str">
        <f t="shared" si="97"/>
        <v/>
      </c>
      <c r="AC110" s="176">
        <f t="shared" si="98"/>
        <v>10</v>
      </c>
      <c r="AD110" s="176">
        <f t="shared" si="99"/>
        <v>10</v>
      </c>
      <c r="AG110" s="32" t="s">
        <v>875</v>
      </c>
      <c r="AH110" s="34" t="s">
        <v>881</v>
      </c>
      <c r="AI110" s="34" t="s">
        <v>945</v>
      </c>
      <c r="AJ110" s="31"/>
      <c r="AK110" s="31"/>
      <c r="AL110" s="31" t="str">
        <f t="shared" si="84"/>
        <v/>
      </c>
      <c r="AM110" s="31">
        <f ca="1">N(SUMIF(staspec,"Reputation",staspecval)&gt;1)</f>
        <v>0</v>
      </c>
      <c r="AN110" s="31">
        <f t="shared" si="78"/>
        <v>109</v>
      </c>
      <c r="AO110" s="35" t="s">
        <v>109</v>
      </c>
      <c r="AP110" s="134"/>
      <c r="AQ110" s="47"/>
      <c r="AR110" s="134"/>
      <c r="AS110" s="47"/>
      <c r="AT110" s="134"/>
      <c r="AU110" s="47"/>
      <c r="AV110" s="134"/>
      <c r="AW110" s="47"/>
      <c r="AX110" s="134"/>
      <c r="AY110" s="47"/>
      <c r="AZ110" s="134"/>
      <c r="BA110" s="47"/>
      <c r="BB110" s="134"/>
      <c r="BC110" s="47"/>
      <c r="BD110" s="134"/>
      <c r="BE110" s="47"/>
      <c r="BF110" s="134"/>
      <c r="BG110" s="47"/>
      <c r="BH110" s="134"/>
      <c r="BI110" s="47"/>
      <c r="BJ110" s="134"/>
      <c r="BK110" s="47"/>
      <c r="BL110" s="134"/>
      <c r="BM110" s="47"/>
      <c r="BN110" s="134"/>
      <c r="BO110" s="47"/>
      <c r="BP110" s="134"/>
      <c r="BQ110" s="47"/>
      <c r="BR110" s="134"/>
      <c r="BS110" s="47"/>
      <c r="BT110" s="134"/>
      <c r="BU110" s="47"/>
      <c r="BV110" s="134"/>
      <c r="BW110" s="47"/>
      <c r="BX110" s="134"/>
      <c r="BY110" s="47"/>
      <c r="BZ110" s="134"/>
      <c r="CA110" s="47"/>
      <c r="CB110" s="120"/>
      <c r="CC110" s="120"/>
      <c r="CD110" s="120"/>
      <c r="CE110" s="120"/>
      <c r="CF110" s="120"/>
      <c r="CG110" s="120"/>
      <c r="CH110" s="120"/>
      <c r="CI110" s="120"/>
      <c r="CJ110" s="120"/>
      <c r="CK110" s="179" t="str">
        <f t="shared" ca="1" si="55"/>
        <v/>
      </c>
      <c r="CL110" s="37" t="str">
        <f t="shared" ca="1" si="85"/>
        <v/>
      </c>
      <c r="CM110" s="36" t="str">
        <f t="shared" ca="1" si="71"/>
        <v/>
      </c>
      <c r="CN110" s="37" t="str">
        <f ca="1">IF($AN110&gt;CN$1,"",INDEX($AG$2:$AG$226,SMALL(CM$2:$CM$226,$AN110),1))</f>
        <v/>
      </c>
      <c r="CO110" s="36" t="str">
        <f t="shared" ca="1" si="72"/>
        <v/>
      </c>
      <c r="CP110" s="37" t="str">
        <f t="shared" ca="1" si="73"/>
        <v/>
      </c>
      <c r="CS110" s="28" t="str">
        <f t="shared" ca="1" si="57"/>
        <v/>
      </c>
      <c r="CT110" s="37" t="str">
        <f t="shared" ca="1" si="86"/>
        <v/>
      </c>
      <c r="CU110" s="28" t="str">
        <f t="shared" ca="1" si="57"/>
        <v/>
      </c>
      <c r="CV110" s="37" t="str">
        <f t="shared" ca="1" si="87"/>
        <v/>
      </c>
      <c r="CW110" s="28" t="str">
        <f t="shared" ca="1" si="60"/>
        <v/>
      </c>
      <c r="CX110" s="37" t="str">
        <f t="shared" ca="1" si="88"/>
        <v/>
      </c>
      <c r="CY110" s="28" t="str">
        <f t="shared" ca="1" si="62"/>
        <v/>
      </c>
      <c r="CZ110" s="37" t="str">
        <f t="shared" ca="1" si="88"/>
        <v/>
      </c>
      <c r="DA110" s="28" t="str">
        <f t="shared" ca="1" si="63"/>
        <v/>
      </c>
      <c r="DB110" s="37" t="str">
        <f t="shared" ca="1" si="89"/>
        <v/>
      </c>
      <c r="DC110" s="28" t="str">
        <f t="shared" ca="1" si="65"/>
        <v/>
      </c>
      <c r="DD110" s="37" t="str">
        <f t="shared" ca="1" si="90"/>
        <v/>
      </c>
      <c r="DN110" s="32">
        <v>109</v>
      </c>
      <c r="DO110" s="34" t="s">
        <v>661</v>
      </c>
      <c r="DP110" s="38">
        <f t="shared" si="100"/>
        <v>0</v>
      </c>
      <c r="DQ110" s="173" t="str">
        <f t="shared" si="74"/>
        <v>(Cunn) 0</v>
      </c>
      <c r="DR110" s="36" t="str">
        <f t="shared" si="75"/>
        <v/>
      </c>
      <c r="DS110" s="37" t="str">
        <f t="shared" si="76"/>
        <v/>
      </c>
      <c r="DV110" s="176">
        <f t="shared" si="67"/>
        <v>0</v>
      </c>
      <c r="DW110" s="243">
        <f>IF(COUNTIF('Char Sheet p1'!$AP$7:$AP$35,DQ110)=0,0,ROUNDDOWN(SUMIF('Char Sheet p1'!$AP$7:$AP$35,DQ110,'Char Sheet p1'!$AQ$7:$AQ$35)/10,0))</f>
        <v>0</v>
      </c>
      <c r="DX110" s="240">
        <f t="shared" si="77"/>
        <v>0</v>
      </c>
      <c r="DY110" s="36">
        <f>DY109+1</f>
        <v>5</v>
      </c>
      <c r="DZ110" s="36" t="str">
        <f t="shared" si="68"/>
        <v/>
      </c>
      <c r="EE110" s="36">
        <f t="shared" si="101"/>
        <v>2</v>
      </c>
    </row>
    <row r="111" spans="3:135">
      <c r="C111" s="32"/>
      <c r="D111" s="171"/>
      <c r="E111" s="34"/>
      <c r="F111" s="155" t="str">
        <f t="shared" si="93"/>
        <v/>
      </c>
      <c r="G111" s="173"/>
      <c r="H111" s="31" t="str">
        <f t="shared" ca="1" si="94"/>
        <v/>
      </c>
      <c r="I111" s="173" t="str">
        <f t="shared" si="95"/>
        <v>+B</v>
      </c>
      <c r="J111" s="39"/>
      <c r="K111" s="102"/>
      <c r="L111" s="31"/>
      <c r="M111" s="31"/>
      <c r="N111" s="31"/>
      <c r="O111" s="31"/>
      <c r="P111" s="31"/>
      <c r="Q111" s="31"/>
      <c r="R111" s="31"/>
      <c r="S111" s="31"/>
      <c r="T111" s="31"/>
      <c r="U111" s="168"/>
      <c r="V111" s="36"/>
      <c r="W111" s="36"/>
      <c r="X111" s="36" t="str">
        <f t="shared" ca="1" si="91"/>
        <v/>
      </c>
      <c r="Y111" s="36" t="str">
        <f t="shared" ca="1" si="96"/>
        <v/>
      </c>
      <c r="Z111" s="176"/>
      <c r="AA111" s="176" t="str">
        <f t="shared" si="92"/>
        <v/>
      </c>
      <c r="AB111" s="176" t="str">
        <f t="shared" si="97"/>
        <v/>
      </c>
      <c r="AC111" s="176">
        <f t="shared" si="98"/>
        <v>10</v>
      </c>
      <c r="AD111" s="176">
        <f t="shared" si="99"/>
        <v>10</v>
      </c>
      <c r="AG111" s="32" t="s">
        <v>855</v>
      </c>
      <c r="AH111" s="34" t="s">
        <v>880</v>
      </c>
      <c r="AI111" s="34" t="s">
        <v>929</v>
      </c>
      <c r="AJ111" s="31"/>
      <c r="AK111" s="31"/>
      <c r="AL111" s="31" t="str">
        <f t="shared" si="84"/>
        <v/>
      </c>
      <c r="AM111" s="31">
        <f ca="1">N(AND(fighting&gt;2,SUMIF(figspec,"Shields",figspecval)&gt;0))</f>
        <v>0</v>
      </c>
      <c r="AN111" s="31">
        <f t="shared" si="78"/>
        <v>110</v>
      </c>
      <c r="AO111" s="35" t="s">
        <v>958</v>
      </c>
      <c r="AP111" s="134"/>
      <c r="AQ111" s="47"/>
      <c r="AR111" s="134"/>
      <c r="AS111" s="47"/>
      <c r="AT111" s="134"/>
      <c r="AU111" s="47"/>
      <c r="AV111" s="134"/>
      <c r="AW111" s="47"/>
      <c r="AX111" s="134"/>
      <c r="AY111" s="47"/>
      <c r="AZ111" s="134"/>
      <c r="BA111" s="47"/>
      <c r="BB111" s="134"/>
      <c r="BC111" s="47"/>
      <c r="BD111" s="134"/>
      <c r="BE111" s="47"/>
      <c r="BF111" s="134"/>
      <c r="BG111" s="47"/>
      <c r="BH111" s="134"/>
      <c r="BI111" s="47"/>
      <c r="BJ111" s="134"/>
      <c r="BK111" s="47"/>
      <c r="BL111" s="134"/>
      <c r="BM111" s="47"/>
      <c r="BN111" s="134"/>
      <c r="BO111" s="47"/>
      <c r="BP111" s="134"/>
      <c r="BQ111" s="47"/>
      <c r="BR111" s="134"/>
      <c r="BS111" s="47"/>
      <c r="BT111" s="134"/>
      <c r="BU111" s="47"/>
      <c r="BV111" s="134"/>
      <c r="BW111" s="47"/>
      <c r="BX111" s="134"/>
      <c r="BY111" s="47"/>
      <c r="BZ111" s="134"/>
      <c r="CA111" s="47"/>
      <c r="CB111" s="120"/>
      <c r="CC111" s="120"/>
      <c r="CD111" s="120"/>
      <c r="CE111" s="120"/>
      <c r="CF111" s="120"/>
      <c r="CG111" s="120"/>
      <c r="CH111" s="120"/>
      <c r="CI111" s="120"/>
      <c r="CJ111" s="120"/>
      <c r="CK111" s="179" t="str">
        <f t="shared" ca="1" si="55"/>
        <v/>
      </c>
      <c r="CL111" s="37" t="str">
        <f t="shared" ca="1" si="85"/>
        <v/>
      </c>
      <c r="CM111" s="36" t="str">
        <f t="shared" ca="1" si="71"/>
        <v/>
      </c>
      <c r="CN111" s="37" t="str">
        <f ca="1">IF($AN111&gt;CN$1,"",INDEX($AG$2:$AG$226,SMALL(CM$2:$CM$226,$AN111),1))</f>
        <v/>
      </c>
      <c r="CO111" s="36" t="str">
        <f t="shared" ca="1" si="72"/>
        <v/>
      </c>
      <c r="CP111" s="37" t="str">
        <f t="shared" ca="1" si="73"/>
        <v/>
      </c>
      <c r="CS111" s="28" t="str">
        <f t="shared" ca="1" si="57"/>
        <v/>
      </c>
      <c r="CT111" s="37" t="str">
        <f t="shared" ca="1" si="86"/>
        <v/>
      </c>
      <c r="CU111" s="28" t="str">
        <f t="shared" ca="1" si="57"/>
        <v/>
      </c>
      <c r="CV111" s="37" t="str">
        <f t="shared" ca="1" si="87"/>
        <v/>
      </c>
      <c r="CW111" s="28" t="str">
        <f t="shared" ca="1" si="60"/>
        <v/>
      </c>
      <c r="CX111" s="37" t="str">
        <f t="shared" ca="1" si="88"/>
        <v/>
      </c>
      <c r="CY111" s="28" t="str">
        <f t="shared" ca="1" si="62"/>
        <v/>
      </c>
      <c r="CZ111" s="37" t="str">
        <f t="shared" ca="1" si="88"/>
        <v/>
      </c>
      <c r="DA111" s="28" t="str">
        <f t="shared" ca="1" si="63"/>
        <v/>
      </c>
      <c r="DB111" s="37" t="str">
        <f t="shared" ca="1" si="89"/>
        <v/>
      </c>
      <c r="DC111" s="28" t="str">
        <f t="shared" ca="1" si="65"/>
        <v/>
      </c>
      <c r="DD111" s="37" t="str">
        <f t="shared" ca="1" si="90"/>
        <v/>
      </c>
      <c r="DN111" s="32">
        <v>110</v>
      </c>
      <c r="DO111" s="34" t="s">
        <v>661</v>
      </c>
      <c r="DP111" s="38">
        <f t="shared" si="100"/>
        <v>0</v>
      </c>
      <c r="DQ111" s="173" t="str">
        <f t="shared" si="74"/>
        <v>(Cunn) 0</v>
      </c>
      <c r="DR111" s="36" t="str">
        <f t="shared" si="75"/>
        <v/>
      </c>
      <c r="DS111" s="37" t="str">
        <f t="shared" si="76"/>
        <v/>
      </c>
      <c r="DV111" s="176">
        <f t="shared" si="67"/>
        <v>0</v>
      </c>
      <c r="DW111" s="243">
        <f>IF(COUNTIF('Char Sheet p1'!$AP$7:$AP$35,DQ111)=0,0,ROUNDDOWN(SUMIF('Char Sheet p1'!$AP$7:$AP$35,DQ111,'Char Sheet p1'!$AQ$7:$AQ$35)/10,0))</f>
        <v>0</v>
      </c>
      <c r="DX111" s="240">
        <f t="shared" si="77"/>
        <v>0</v>
      </c>
      <c r="DY111" s="36">
        <f t="shared" ref="DY111:DY131" si="102">DY110+1</f>
        <v>6</v>
      </c>
      <c r="DZ111" s="36" t="str">
        <f t="shared" si="68"/>
        <v/>
      </c>
      <c r="EE111" s="36">
        <f t="shared" si="101"/>
        <v>2</v>
      </c>
    </row>
    <row r="112" spans="3:135">
      <c r="C112" s="32"/>
      <c r="D112" s="171"/>
      <c r="E112" s="34"/>
      <c r="F112" s="155" t="str">
        <f t="shared" si="93"/>
        <v/>
      </c>
      <c r="G112" s="173"/>
      <c r="H112" s="31" t="str">
        <f t="shared" ca="1" si="94"/>
        <v/>
      </c>
      <c r="I112" s="173" t="str">
        <f t="shared" si="95"/>
        <v>+B</v>
      </c>
      <c r="J112" s="39"/>
      <c r="K112" s="102"/>
      <c r="L112" s="31"/>
      <c r="M112" s="31"/>
      <c r="N112" s="31"/>
      <c r="O112" s="31"/>
      <c r="P112" s="31"/>
      <c r="Q112" s="31"/>
      <c r="R112" s="31"/>
      <c r="S112" s="31"/>
      <c r="T112" s="31"/>
      <c r="U112" s="168"/>
      <c r="V112" s="36"/>
      <c r="W112" s="36"/>
      <c r="X112" s="36" t="str">
        <f t="shared" ca="1" si="91"/>
        <v/>
      </c>
      <c r="Y112" s="36" t="str">
        <f t="shared" ca="1" si="96"/>
        <v/>
      </c>
      <c r="Z112" s="176"/>
      <c r="AA112" s="176" t="str">
        <f t="shared" si="92"/>
        <v/>
      </c>
      <c r="AB112" s="176" t="str">
        <f t="shared" si="97"/>
        <v/>
      </c>
      <c r="AC112" s="176">
        <f t="shared" si="98"/>
        <v>10</v>
      </c>
      <c r="AD112" s="176">
        <f t="shared" si="99"/>
        <v>10</v>
      </c>
      <c r="AG112" s="32" t="s">
        <v>856</v>
      </c>
      <c r="AH112" s="34" t="s">
        <v>880</v>
      </c>
      <c r="AI112" s="34" t="s">
        <v>930</v>
      </c>
      <c r="AJ112" s="31"/>
      <c r="AK112" s="31"/>
      <c r="AL112" s="31" t="str">
        <f t="shared" si="84"/>
        <v/>
      </c>
      <c r="AM112" s="31">
        <f ca="1">N(AND(fighting&gt;3,SUMIF(figspec,"Short Blades",figspecval)&gt;0))</f>
        <v>0</v>
      </c>
      <c r="AN112" s="31">
        <f t="shared" si="78"/>
        <v>111</v>
      </c>
      <c r="AO112" s="35" t="s">
        <v>110</v>
      </c>
      <c r="AP112" s="134"/>
      <c r="AQ112" s="47"/>
      <c r="AR112" s="134"/>
      <c r="AS112" s="47"/>
      <c r="AT112" s="134"/>
      <c r="AU112" s="47"/>
      <c r="AV112" s="134"/>
      <c r="AW112" s="47"/>
      <c r="AX112" s="134"/>
      <c r="AY112" s="47"/>
      <c r="AZ112" s="134"/>
      <c r="BA112" s="47"/>
      <c r="BB112" s="134"/>
      <c r="BC112" s="47"/>
      <c r="BD112" s="134"/>
      <c r="BE112" s="47"/>
      <c r="BF112" s="134"/>
      <c r="BG112" s="47"/>
      <c r="BH112" s="134"/>
      <c r="BI112" s="47"/>
      <c r="BJ112" s="134"/>
      <c r="BK112" s="47"/>
      <c r="BL112" s="134"/>
      <c r="BM112" s="47"/>
      <c r="BN112" s="134"/>
      <c r="BO112" s="47"/>
      <c r="BP112" s="134"/>
      <c r="BQ112" s="47"/>
      <c r="BR112" s="134"/>
      <c r="BS112" s="47"/>
      <c r="BT112" s="134"/>
      <c r="BU112" s="47"/>
      <c r="BV112" s="134"/>
      <c r="BW112" s="47"/>
      <c r="BX112" s="134"/>
      <c r="BY112" s="47"/>
      <c r="BZ112" s="134"/>
      <c r="CA112" s="47"/>
      <c r="CB112" s="120"/>
      <c r="CC112" s="120"/>
      <c r="CD112" s="120"/>
      <c r="CE112" s="120"/>
      <c r="CF112" s="120"/>
      <c r="CG112" s="120"/>
      <c r="CH112" s="120"/>
      <c r="CI112" s="120"/>
      <c r="CJ112" s="120"/>
      <c r="CK112" s="179" t="str">
        <f t="shared" ca="1" si="55"/>
        <v/>
      </c>
      <c r="CL112" s="37" t="str">
        <f t="shared" ca="1" si="85"/>
        <v/>
      </c>
      <c r="CM112" s="36" t="str">
        <f t="shared" ca="1" si="71"/>
        <v/>
      </c>
      <c r="CN112" s="37" t="str">
        <f ca="1">IF($AN112&gt;CN$1,"",INDEX($AG$2:$AG$226,SMALL(CM$2:$CM$226,$AN112),1))</f>
        <v/>
      </c>
      <c r="CO112" s="36" t="str">
        <f t="shared" ca="1" si="72"/>
        <v/>
      </c>
      <c r="CP112" s="37" t="str">
        <f t="shared" ca="1" si="73"/>
        <v/>
      </c>
      <c r="CS112" s="28" t="str">
        <f t="shared" ca="1" si="57"/>
        <v/>
      </c>
      <c r="CT112" s="37" t="str">
        <f t="shared" ca="1" si="86"/>
        <v/>
      </c>
      <c r="CU112" s="28" t="str">
        <f t="shared" ca="1" si="57"/>
        <v/>
      </c>
      <c r="CV112" s="37" t="str">
        <f t="shared" ca="1" si="87"/>
        <v/>
      </c>
      <c r="CW112" s="28" t="str">
        <f t="shared" ca="1" si="60"/>
        <v/>
      </c>
      <c r="CX112" s="37" t="str">
        <f t="shared" ca="1" si="88"/>
        <v/>
      </c>
      <c r="CY112" s="28" t="str">
        <f t="shared" ca="1" si="62"/>
        <v/>
      </c>
      <c r="CZ112" s="37" t="str">
        <f t="shared" ca="1" si="88"/>
        <v/>
      </c>
      <c r="DA112" s="28" t="str">
        <f t="shared" ca="1" si="63"/>
        <v/>
      </c>
      <c r="DB112" s="37" t="str">
        <f t="shared" ca="1" si="89"/>
        <v/>
      </c>
      <c r="DC112" s="28" t="str">
        <f t="shared" ca="1" si="65"/>
        <v/>
      </c>
      <c r="DD112" s="37" t="str">
        <f t="shared" ca="1" si="90"/>
        <v/>
      </c>
      <c r="DN112" s="32">
        <v>111</v>
      </c>
      <c r="DO112" s="34" t="s">
        <v>661</v>
      </c>
      <c r="DP112" s="38">
        <f t="shared" si="100"/>
        <v>0</v>
      </c>
      <c r="DQ112" s="173" t="str">
        <f t="shared" si="74"/>
        <v>(Cunn) 0</v>
      </c>
      <c r="DR112" s="36" t="str">
        <f t="shared" si="75"/>
        <v/>
      </c>
      <c r="DS112" s="37" t="str">
        <f t="shared" si="76"/>
        <v/>
      </c>
      <c r="DV112" s="176">
        <f t="shared" si="67"/>
        <v>0</v>
      </c>
      <c r="DW112" s="243">
        <f>IF(COUNTIF('Char Sheet p1'!$AP$7:$AP$35,DQ112)=0,0,ROUNDDOWN(SUMIF('Char Sheet p1'!$AP$7:$AP$35,DQ112,'Char Sheet p1'!$AQ$7:$AQ$35)/10,0))</f>
        <v>0</v>
      </c>
      <c r="DX112" s="240">
        <f t="shared" si="77"/>
        <v>0</v>
      </c>
      <c r="DY112" s="36">
        <f t="shared" si="102"/>
        <v>7</v>
      </c>
      <c r="DZ112" s="36" t="str">
        <f t="shared" si="68"/>
        <v/>
      </c>
      <c r="EE112" s="36">
        <f t="shared" si="101"/>
        <v>2</v>
      </c>
    </row>
    <row r="113" spans="3:135">
      <c r="C113" s="32"/>
      <c r="D113" s="171"/>
      <c r="E113" s="34"/>
      <c r="F113" s="155" t="str">
        <f t="shared" si="93"/>
        <v/>
      </c>
      <c r="G113" s="173"/>
      <c r="H113" s="31" t="str">
        <f t="shared" ca="1" si="94"/>
        <v/>
      </c>
      <c r="I113" s="173" t="str">
        <f t="shared" si="95"/>
        <v>+B</v>
      </c>
      <c r="J113" s="39"/>
      <c r="K113" s="102"/>
      <c r="L113" s="31"/>
      <c r="M113" s="31"/>
      <c r="N113" s="31"/>
      <c r="O113" s="31"/>
      <c r="P113" s="31"/>
      <c r="Q113" s="31"/>
      <c r="R113" s="31"/>
      <c r="S113" s="31"/>
      <c r="T113" s="31"/>
      <c r="U113" s="168"/>
      <c r="V113" s="36"/>
      <c r="W113" s="36"/>
      <c r="X113" s="36" t="str">
        <f t="shared" ca="1" si="91"/>
        <v/>
      </c>
      <c r="Y113" s="36" t="str">
        <f t="shared" ca="1" si="96"/>
        <v/>
      </c>
      <c r="Z113" s="176"/>
      <c r="AA113" s="176" t="str">
        <f t="shared" si="92"/>
        <v/>
      </c>
      <c r="AB113" s="176" t="str">
        <f t="shared" si="97"/>
        <v/>
      </c>
      <c r="AC113" s="176">
        <f t="shared" si="98"/>
        <v>10</v>
      </c>
      <c r="AD113" s="176">
        <f t="shared" si="99"/>
        <v>10</v>
      </c>
      <c r="AG113" s="32" t="s">
        <v>901</v>
      </c>
      <c r="AH113" s="34" t="s">
        <v>880</v>
      </c>
      <c r="AI113" s="34" t="s">
        <v>931</v>
      </c>
      <c r="AJ113" s="31"/>
      <c r="AK113" s="31"/>
      <c r="AL113" s="31" t="str">
        <f t="shared" si="84"/>
        <v/>
      </c>
      <c r="AM113" s="31">
        <f>N(AND(fighting&gt;4,COUNTIF(qualities,"Short Blade Fighter I")&gt;0))</f>
        <v>0</v>
      </c>
      <c r="AN113" s="31">
        <f t="shared" si="78"/>
        <v>112</v>
      </c>
      <c r="AO113" s="35" t="s">
        <v>111</v>
      </c>
      <c r="AP113" s="134"/>
      <c r="AQ113" s="47"/>
      <c r="AR113" s="134"/>
      <c r="AS113" s="47"/>
      <c r="AT113" s="134"/>
      <c r="AU113" s="47"/>
      <c r="AV113" s="134"/>
      <c r="AW113" s="47"/>
      <c r="AX113" s="134"/>
      <c r="AY113" s="47"/>
      <c r="AZ113" s="134"/>
      <c r="BA113" s="47"/>
      <c r="BB113" s="134"/>
      <c r="BC113" s="47"/>
      <c r="BD113" s="134"/>
      <c r="BE113" s="47"/>
      <c r="BF113" s="134"/>
      <c r="BG113" s="47"/>
      <c r="BH113" s="134"/>
      <c r="BI113" s="47"/>
      <c r="BJ113" s="134"/>
      <c r="BK113" s="47"/>
      <c r="BL113" s="134"/>
      <c r="BM113" s="47"/>
      <c r="BN113" s="134"/>
      <c r="BO113" s="47"/>
      <c r="BP113" s="134"/>
      <c r="BQ113" s="47"/>
      <c r="BR113" s="134"/>
      <c r="BS113" s="47"/>
      <c r="BT113" s="134"/>
      <c r="BU113" s="47"/>
      <c r="BV113" s="134"/>
      <c r="BW113" s="47"/>
      <c r="BX113" s="134"/>
      <c r="BY113" s="47"/>
      <c r="BZ113" s="134"/>
      <c r="CA113" s="47"/>
      <c r="CB113" s="120"/>
      <c r="CC113" s="120"/>
      <c r="CD113" s="120"/>
      <c r="CE113" s="120"/>
      <c r="CF113" s="120"/>
      <c r="CG113" s="120"/>
      <c r="CH113" s="120"/>
      <c r="CI113" s="120"/>
      <c r="CJ113" s="120"/>
      <c r="CK113" s="179" t="str">
        <f t="shared" si="55"/>
        <v/>
      </c>
      <c r="CL113" s="37" t="str">
        <f t="shared" ca="1" si="85"/>
        <v/>
      </c>
      <c r="CM113" s="36" t="str">
        <f t="shared" si="71"/>
        <v/>
      </c>
      <c r="CN113" s="37" t="str">
        <f ca="1">IF($AN113&gt;CN$1,"",INDEX($AG$2:$AG$226,SMALL(CM$2:$CM$226,$AN113),1))</f>
        <v/>
      </c>
      <c r="CO113" s="36" t="str">
        <f t="shared" si="72"/>
        <v/>
      </c>
      <c r="CP113" s="37" t="str">
        <f t="shared" ca="1" si="73"/>
        <v/>
      </c>
      <c r="CS113" s="28" t="str">
        <f t="shared" si="57"/>
        <v/>
      </c>
      <c r="CT113" s="37" t="str">
        <f t="shared" ca="1" si="86"/>
        <v/>
      </c>
      <c r="CU113" s="28" t="str">
        <f t="shared" si="57"/>
        <v/>
      </c>
      <c r="CV113" s="37" t="str">
        <f t="shared" ca="1" si="87"/>
        <v/>
      </c>
      <c r="CW113" s="28" t="str">
        <f t="shared" si="60"/>
        <v/>
      </c>
      <c r="CX113" s="37" t="str">
        <f t="shared" ca="1" si="88"/>
        <v/>
      </c>
      <c r="CY113" s="28" t="str">
        <f t="shared" si="62"/>
        <v/>
      </c>
      <c r="CZ113" s="37" t="str">
        <f t="shared" ca="1" si="88"/>
        <v/>
      </c>
      <c r="DA113" s="28" t="str">
        <f t="shared" si="63"/>
        <v/>
      </c>
      <c r="DB113" s="37" t="str">
        <f t="shared" ca="1" si="89"/>
        <v/>
      </c>
      <c r="DC113" s="28" t="str">
        <f t="shared" si="65"/>
        <v/>
      </c>
      <c r="DD113" s="37" t="str">
        <f t="shared" ca="1" si="90"/>
        <v/>
      </c>
      <c r="DN113" s="32">
        <v>112</v>
      </c>
      <c r="DO113" s="34" t="s">
        <v>661</v>
      </c>
      <c r="DP113" s="38">
        <f t="shared" si="100"/>
        <v>0</v>
      </c>
      <c r="DQ113" s="173" t="str">
        <f t="shared" si="74"/>
        <v>(Cunn) 0</v>
      </c>
      <c r="DR113" s="36" t="str">
        <f t="shared" si="75"/>
        <v/>
      </c>
      <c r="DS113" s="37" t="str">
        <f t="shared" si="76"/>
        <v/>
      </c>
      <c r="DV113" s="176">
        <f t="shared" si="67"/>
        <v>0</v>
      </c>
      <c r="DW113" s="243">
        <f>IF(COUNTIF('Char Sheet p1'!$AP$7:$AP$35,DQ113)=0,0,ROUNDDOWN(SUMIF('Char Sheet p1'!$AP$7:$AP$35,DQ113,'Char Sheet p1'!$AQ$7:$AQ$35)/10,0))</f>
        <v>0</v>
      </c>
      <c r="DX113" s="240">
        <f t="shared" si="77"/>
        <v>0</v>
      </c>
      <c r="DY113" s="36">
        <f t="shared" si="102"/>
        <v>8</v>
      </c>
      <c r="DZ113" s="36" t="str">
        <f t="shared" si="68"/>
        <v/>
      </c>
      <c r="EE113" s="36">
        <f t="shared" si="101"/>
        <v>2</v>
      </c>
    </row>
    <row r="114" spans="3:135">
      <c r="C114" s="41"/>
      <c r="D114" s="172"/>
      <c r="E114" s="53"/>
      <c r="F114" s="158" t="str">
        <f t="shared" si="93"/>
        <v/>
      </c>
      <c r="G114" s="174"/>
      <c r="H114" s="40" t="str">
        <f t="shared" ca="1" si="94"/>
        <v/>
      </c>
      <c r="I114" s="174" t="str">
        <f t="shared" si="95"/>
        <v>+B</v>
      </c>
      <c r="J114" s="110"/>
      <c r="K114" s="184"/>
      <c r="L114" s="53"/>
      <c r="M114" s="53"/>
      <c r="N114" s="53"/>
      <c r="O114" s="53"/>
      <c r="P114" s="53"/>
      <c r="Q114" s="53"/>
      <c r="R114" s="53"/>
      <c r="S114" s="53"/>
      <c r="T114" s="53"/>
      <c r="U114" s="174"/>
      <c r="V114" s="55"/>
      <c r="W114" s="55"/>
      <c r="X114" s="55" t="str">
        <f t="shared" ca="1" si="91"/>
        <v/>
      </c>
      <c r="Y114" s="55" t="str">
        <f t="shared" ca="1" si="96"/>
        <v/>
      </c>
      <c r="Z114" s="177"/>
      <c r="AA114" s="177" t="str">
        <f t="shared" si="92"/>
        <v/>
      </c>
      <c r="AB114" s="177" t="str">
        <f t="shared" si="97"/>
        <v/>
      </c>
      <c r="AC114" s="177">
        <f t="shared" si="98"/>
        <v>10</v>
      </c>
      <c r="AD114" s="177">
        <f t="shared" si="99"/>
        <v>10</v>
      </c>
      <c r="AG114" s="32" t="s">
        <v>902</v>
      </c>
      <c r="AH114" s="34" t="s">
        <v>880</v>
      </c>
      <c r="AI114" s="34" t="s">
        <v>932</v>
      </c>
      <c r="AJ114" s="31"/>
      <c r="AK114" s="31"/>
      <c r="AL114" s="31" t="str">
        <f t="shared" si="84"/>
        <v/>
      </c>
      <c r="AM114" s="31">
        <f>N(AND(fighting&gt;5,COUNTIF(qualities,"Short Blade Fighter II")&gt;0))</f>
        <v>0</v>
      </c>
      <c r="AN114" s="31">
        <f t="shared" si="78"/>
        <v>113</v>
      </c>
      <c r="AO114" s="35" t="s">
        <v>112</v>
      </c>
      <c r="AP114" s="134"/>
      <c r="AQ114" s="47"/>
      <c r="AR114" s="134"/>
      <c r="AS114" s="47"/>
      <c r="AT114" s="134"/>
      <c r="AU114" s="47"/>
      <c r="AV114" s="134"/>
      <c r="AW114" s="47"/>
      <c r="AX114" s="134"/>
      <c r="AY114" s="47"/>
      <c r="AZ114" s="134"/>
      <c r="BA114" s="47"/>
      <c r="BB114" s="134"/>
      <c r="BC114" s="47"/>
      <c r="BD114" s="134"/>
      <c r="BE114" s="47"/>
      <c r="BF114" s="134"/>
      <c r="BG114" s="47"/>
      <c r="BH114" s="134"/>
      <c r="BI114" s="47"/>
      <c r="BJ114" s="134"/>
      <c r="BK114" s="47"/>
      <c r="BL114" s="134"/>
      <c r="BM114" s="47"/>
      <c r="BN114" s="134"/>
      <c r="BO114" s="47"/>
      <c r="BP114" s="134"/>
      <c r="BQ114" s="47"/>
      <c r="BR114" s="134"/>
      <c r="BS114" s="47"/>
      <c r="BT114" s="134"/>
      <c r="BU114" s="47"/>
      <c r="BV114" s="134"/>
      <c r="BW114" s="47"/>
      <c r="BX114" s="134"/>
      <c r="BY114" s="47"/>
      <c r="BZ114" s="134"/>
      <c r="CA114" s="47"/>
      <c r="CB114" s="120"/>
      <c r="CC114" s="120"/>
      <c r="CD114" s="120"/>
      <c r="CE114" s="120"/>
      <c r="CF114" s="120"/>
      <c r="CG114" s="120"/>
      <c r="CH114" s="120"/>
      <c r="CI114" s="120"/>
      <c r="CJ114" s="120"/>
      <c r="CK114" s="179" t="str">
        <f t="shared" si="55"/>
        <v/>
      </c>
      <c r="CL114" s="37" t="str">
        <f t="shared" ca="1" si="85"/>
        <v/>
      </c>
      <c r="CM114" s="36" t="str">
        <f t="shared" si="71"/>
        <v/>
      </c>
      <c r="CN114" s="37" t="str">
        <f ca="1">IF($AN114&gt;CN$1,"",INDEX($AG$2:$AG$226,SMALL(CM$2:$CM$226,$AN114),1))</f>
        <v/>
      </c>
      <c r="CO114" s="36" t="str">
        <f t="shared" si="72"/>
        <v/>
      </c>
      <c r="CP114" s="37" t="str">
        <f t="shared" ca="1" si="73"/>
        <v/>
      </c>
      <c r="CS114" s="28" t="str">
        <f t="shared" si="57"/>
        <v/>
      </c>
      <c r="CT114" s="37" t="str">
        <f t="shared" ca="1" si="86"/>
        <v/>
      </c>
      <c r="CU114" s="28" t="str">
        <f t="shared" si="57"/>
        <v/>
      </c>
      <c r="CV114" s="37" t="str">
        <f t="shared" ca="1" si="87"/>
        <v/>
      </c>
      <c r="CW114" s="28" t="str">
        <f t="shared" si="60"/>
        <v/>
      </c>
      <c r="CX114" s="37" t="str">
        <f t="shared" ca="1" si="88"/>
        <v/>
      </c>
      <c r="CY114" s="28" t="str">
        <f t="shared" si="62"/>
        <v/>
      </c>
      <c r="CZ114" s="37" t="str">
        <f t="shared" ca="1" si="88"/>
        <v/>
      </c>
      <c r="DA114" s="28" t="str">
        <f t="shared" si="63"/>
        <v/>
      </c>
      <c r="DB114" s="37" t="str">
        <f t="shared" ca="1" si="89"/>
        <v/>
      </c>
      <c r="DC114" s="28" t="str">
        <f t="shared" si="65"/>
        <v/>
      </c>
      <c r="DD114" s="37" t="str">
        <f t="shared" ca="1" si="90"/>
        <v/>
      </c>
      <c r="DN114" s="32">
        <v>113</v>
      </c>
      <c r="DO114" s="34" t="s">
        <v>661</v>
      </c>
      <c r="DP114" s="38">
        <f t="shared" si="100"/>
        <v>0</v>
      </c>
      <c r="DQ114" s="173" t="str">
        <f t="shared" si="74"/>
        <v>(Cunn) 0</v>
      </c>
      <c r="DR114" s="36" t="str">
        <f t="shared" si="75"/>
        <v/>
      </c>
      <c r="DS114" s="49" t="str">
        <f t="shared" si="76"/>
        <v/>
      </c>
      <c r="DV114" s="176">
        <f t="shared" si="67"/>
        <v>0</v>
      </c>
      <c r="DW114" s="243">
        <f>IF(COUNTIF('Char Sheet p1'!$AP$7:$AP$35,DQ114)=0,0,ROUNDDOWN(SUMIF('Char Sheet p1'!$AP$7:$AP$35,DQ114,'Char Sheet p1'!$AQ$7:$AQ$35)/10,0))</f>
        <v>0</v>
      </c>
      <c r="DX114" s="240">
        <f t="shared" si="77"/>
        <v>0</v>
      </c>
      <c r="DY114" s="36">
        <f t="shared" si="102"/>
        <v>9</v>
      </c>
      <c r="DZ114" s="36" t="str">
        <f t="shared" si="68"/>
        <v/>
      </c>
      <c r="EE114" s="36">
        <f t="shared" si="101"/>
        <v>2</v>
      </c>
    </row>
    <row r="115" spans="3:135">
      <c r="D115" s="48"/>
      <c r="AG115" s="32" t="s">
        <v>770</v>
      </c>
      <c r="AH115" s="34" t="s">
        <v>773</v>
      </c>
      <c r="AI115" s="34"/>
      <c r="AJ115" s="31"/>
      <c r="AK115" s="31"/>
      <c r="AL115" s="31" t="str">
        <f t="shared" si="84"/>
        <v/>
      </c>
      <c r="AM115" s="31">
        <v>1</v>
      </c>
      <c r="AN115" s="31">
        <f t="shared" si="78"/>
        <v>114</v>
      </c>
      <c r="AO115" s="35" t="s">
        <v>113</v>
      </c>
      <c r="AP115" s="134"/>
      <c r="AQ115" s="47"/>
      <c r="AR115" s="134"/>
      <c r="AS115" s="47"/>
      <c r="AT115" s="134"/>
      <c r="AU115" s="47"/>
      <c r="AV115" s="134"/>
      <c r="AW115" s="47"/>
      <c r="AX115" s="134"/>
      <c r="AY115" s="47"/>
      <c r="AZ115" s="134"/>
      <c r="BA115" s="47"/>
      <c r="BB115" s="134"/>
      <c r="BC115" s="47"/>
      <c r="BD115" s="134"/>
      <c r="BE115" s="47"/>
      <c r="BF115" s="134"/>
      <c r="BG115" s="47"/>
      <c r="BH115" s="134"/>
      <c r="BI115" s="47"/>
      <c r="BJ115" s="134"/>
      <c r="BK115" s="47"/>
      <c r="BL115" s="134"/>
      <c r="BM115" s="47"/>
      <c r="BN115" s="134"/>
      <c r="BO115" s="47"/>
      <c r="BP115" s="134"/>
      <c r="BQ115" s="47"/>
      <c r="BR115" s="134"/>
      <c r="BS115" s="47"/>
      <c r="BT115" s="134"/>
      <c r="BU115" s="47"/>
      <c r="BV115" s="134"/>
      <c r="BW115" s="47"/>
      <c r="BX115" s="134"/>
      <c r="BY115" s="47"/>
      <c r="BZ115" s="134"/>
      <c r="CA115" s="47"/>
      <c r="CB115" s="120"/>
      <c r="CC115" s="120"/>
      <c r="CD115" s="120"/>
      <c r="CE115" s="120"/>
      <c r="CF115" s="120"/>
      <c r="CG115" s="120"/>
      <c r="CH115" s="120"/>
      <c r="CI115" s="120"/>
      <c r="CJ115" s="120"/>
      <c r="CK115" s="179">
        <f t="shared" si="55"/>
        <v>114</v>
      </c>
      <c r="CL115" s="37" t="str">
        <f t="shared" ca="1" si="85"/>
        <v/>
      </c>
      <c r="CM115" s="36">
        <f t="shared" si="71"/>
        <v>114</v>
      </c>
      <c r="CN115" s="37" t="str">
        <f ca="1">IF($AN115&gt;CN$1,"",INDEX($AG$2:$AG$226,SMALL(CM$2:$CM$226,$AN115),1))</f>
        <v/>
      </c>
      <c r="CO115" s="36">
        <f t="shared" si="72"/>
        <v>114</v>
      </c>
      <c r="CP115" s="37" t="str">
        <f t="shared" ca="1" si="73"/>
        <v/>
      </c>
      <c r="CS115" s="28">
        <f t="shared" si="57"/>
        <v>114</v>
      </c>
      <c r="CT115" s="37" t="str">
        <f t="shared" ca="1" si="86"/>
        <v/>
      </c>
      <c r="CU115" s="28">
        <f t="shared" si="57"/>
        <v>114</v>
      </c>
      <c r="CV115" s="37" t="str">
        <f t="shared" ca="1" si="87"/>
        <v/>
      </c>
      <c r="CW115" s="28">
        <f t="shared" si="60"/>
        <v>114</v>
      </c>
      <c r="CX115" s="37" t="str">
        <f t="shared" ca="1" si="88"/>
        <v/>
      </c>
      <c r="CY115" s="28">
        <f t="shared" si="62"/>
        <v>114</v>
      </c>
      <c r="CZ115" s="37" t="str">
        <f t="shared" ca="1" si="88"/>
        <v/>
      </c>
      <c r="DA115" s="28">
        <f t="shared" si="63"/>
        <v>114</v>
      </c>
      <c r="DB115" s="37" t="str">
        <f t="shared" ca="1" si="89"/>
        <v/>
      </c>
      <c r="DC115" s="28">
        <f t="shared" si="65"/>
        <v>114</v>
      </c>
      <c r="DD115" s="37" t="str">
        <f t="shared" ca="1" si="90"/>
        <v/>
      </c>
      <c r="DN115" s="32">
        <v>114</v>
      </c>
      <c r="DO115" s="34" t="s">
        <v>661</v>
      </c>
      <c r="DP115" s="38">
        <f t="shared" si="100"/>
        <v>0</v>
      </c>
      <c r="DQ115" s="173" t="str">
        <f t="shared" si="74"/>
        <v>(Cunn) 0</v>
      </c>
      <c r="DR115" s="36" t="str">
        <f t="shared" si="75"/>
        <v/>
      </c>
      <c r="DV115" s="176">
        <f t="shared" si="67"/>
        <v>0</v>
      </c>
      <c r="DW115" s="243">
        <f>IF(COUNTIF('Char Sheet p1'!$AP$7:$AP$35,DQ115)=0,0,ROUNDDOWN(SUMIF('Char Sheet p1'!$AP$7:$AP$35,DQ115,'Char Sheet p1'!$AQ$7:$AQ$35)/10,0))</f>
        <v>0</v>
      </c>
      <c r="DX115" s="240">
        <f t="shared" si="77"/>
        <v>0</v>
      </c>
      <c r="DY115" s="36">
        <f t="shared" si="102"/>
        <v>10</v>
      </c>
      <c r="DZ115" s="36" t="str">
        <f t="shared" si="68"/>
        <v/>
      </c>
      <c r="EE115" s="36">
        <f t="shared" si="101"/>
        <v>2</v>
      </c>
    </row>
    <row r="116" spans="3:135">
      <c r="D116" s="48"/>
      <c r="AG116" s="32" t="s">
        <v>822</v>
      </c>
      <c r="AH116" s="34" t="s">
        <v>789</v>
      </c>
      <c r="AI116" s="34" t="s">
        <v>883</v>
      </c>
      <c r="AJ116" s="31"/>
      <c r="AK116" s="31"/>
      <c r="AL116" s="31" t="str">
        <f t="shared" si="84"/>
        <v/>
      </c>
      <c r="AM116" s="31">
        <f ca="1">N(AND(will&gt;4,SUMIF(wilspec,"Dedication",wilspecval)&gt;1,COUNTIF(qualities,"Third Eye Opened")&gt;0))</f>
        <v>0</v>
      </c>
      <c r="AN116" s="31">
        <f t="shared" si="78"/>
        <v>115</v>
      </c>
      <c r="AO116" s="35" t="s">
        <v>114</v>
      </c>
      <c r="AP116" s="134"/>
      <c r="AQ116" s="47"/>
      <c r="AR116" s="134"/>
      <c r="AS116" s="47"/>
      <c r="AT116" s="134"/>
      <c r="AU116" s="47"/>
      <c r="AV116" s="134"/>
      <c r="AW116" s="47"/>
      <c r="AX116" s="134"/>
      <c r="AY116" s="47"/>
      <c r="AZ116" s="134"/>
      <c r="BA116" s="47"/>
      <c r="BB116" s="134"/>
      <c r="BC116" s="47"/>
      <c r="BD116" s="134"/>
      <c r="BE116" s="47"/>
      <c r="BF116" s="134"/>
      <c r="BG116" s="47"/>
      <c r="BH116" s="134"/>
      <c r="BI116" s="47"/>
      <c r="BJ116" s="134"/>
      <c r="BK116" s="47"/>
      <c r="BL116" s="134"/>
      <c r="BM116" s="47"/>
      <c r="BN116" s="134"/>
      <c r="BO116" s="47"/>
      <c r="BP116" s="134"/>
      <c r="BQ116" s="47"/>
      <c r="BR116" s="134"/>
      <c r="BS116" s="47"/>
      <c r="BT116" s="134"/>
      <c r="BU116" s="47"/>
      <c r="BV116" s="134"/>
      <c r="BW116" s="47"/>
      <c r="BX116" s="134"/>
      <c r="BY116" s="47"/>
      <c r="BZ116" s="134"/>
      <c r="CA116" s="47"/>
      <c r="CB116" s="120"/>
      <c r="CC116" s="120"/>
      <c r="CD116" s="120"/>
      <c r="CE116" s="120"/>
      <c r="CF116" s="120"/>
      <c r="CG116" s="120"/>
      <c r="CH116" s="120"/>
      <c r="CI116" s="120"/>
      <c r="CJ116" s="120"/>
      <c r="CK116" s="179" t="str">
        <f t="shared" ca="1" si="55"/>
        <v/>
      </c>
      <c r="CL116" s="37" t="str">
        <f t="shared" ca="1" si="85"/>
        <v/>
      </c>
      <c r="CM116" s="36" t="str">
        <f t="shared" ca="1" si="71"/>
        <v/>
      </c>
      <c r="CN116" s="37" t="str">
        <f ca="1">IF($AN116&gt;CN$1,"",INDEX($AG$2:$AG$226,SMALL(CM$2:$CM$226,$AN116),1))</f>
        <v/>
      </c>
      <c r="CO116" s="36" t="str">
        <f t="shared" ca="1" si="72"/>
        <v/>
      </c>
      <c r="CP116" s="37" t="str">
        <f t="shared" ca="1" si="73"/>
        <v/>
      </c>
      <c r="CS116" s="28" t="str">
        <f t="shared" ca="1" si="57"/>
        <v/>
      </c>
      <c r="CT116" s="37" t="str">
        <f t="shared" ca="1" si="86"/>
        <v/>
      </c>
      <c r="CU116" s="28" t="str">
        <f t="shared" ca="1" si="57"/>
        <v/>
      </c>
      <c r="CV116" s="37" t="str">
        <f t="shared" ca="1" si="87"/>
        <v/>
      </c>
      <c r="CW116" s="28" t="str">
        <f t="shared" ca="1" si="60"/>
        <v/>
      </c>
      <c r="CX116" s="37" t="str">
        <f t="shared" ca="1" si="88"/>
        <v/>
      </c>
      <c r="CY116" s="28" t="str">
        <f t="shared" ca="1" si="62"/>
        <v/>
      </c>
      <c r="CZ116" s="37" t="str">
        <f t="shared" ca="1" si="88"/>
        <v/>
      </c>
      <c r="DA116" s="28" t="str">
        <f t="shared" ca="1" si="63"/>
        <v/>
      </c>
      <c r="DB116" s="37" t="str">
        <f t="shared" ca="1" si="89"/>
        <v/>
      </c>
      <c r="DC116" s="28" t="str">
        <f t="shared" ca="1" si="65"/>
        <v/>
      </c>
      <c r="DD116" s="37" t="str">
        <f t="shared" ca="1" si="90"/>
        <v/>
      </c>
      <c r="DN116" s="32">
        <v>115</v>
      </c>
      <c r="DO116" s="34" t="s">
        <v>661</v>
      </c>
      <c r="DP116" s="38">
        <f t="shared" si="100"/>
        <v>0</v>
      </c>
      <c r="DQ116" s="173" t="str">
        <f t="shared" si="74"/>
        <v>(Cunn) 0</v>
      </c>
      <c r="DR116" s="36" t="str">
        <f t="shared" si="75"/>
        <v/>
      </c>
      <c r="DV116" s="176">
        <f t="shared" si="67"/>
        <v>0</v>
      </c>
      <c r="DW116" s="243">
        <f>IF(COUNTIF('Char Sheet p1'!$AP$7:$AP$35,DQ116)=0,0,ROUNDDOWN(SUMIF('Char Sheet p1'!$AP$7:$AP$35,DQ116,'Char Sheet p1'!$AQ$7:$AQ$35)/10,0))</f>
        <v>0</v>
      </c>
      <c r="DX116" s="240">
        <f t="shared" si="77"/>
        <v>0</v>
      </c>
      <c r="DY116" s="36">
        <f t="shared" si="102"/>
        <v>11</v>
      </c>
      <c r="DZ116" s="36" t="str">
        <f t="shared" si="68"/>
        <v/>
      </c>
      <c r="EE116" s="36">
        <f t="shared" si="101"/>
        <v>2</v>
      </c>
    </row>
    <row r="117" spans="3:135">
      <c r="D117" s="48"/>
      <c r="AG117" s="32" t="s">
        <v>857</v>
      </c>
      <c r="AH117" s="34" t="s">
        <v>880</v>
      </c>
      <c r="AI117" s="34" t="s">
        <v>933</v>
      </c>
      <c r="AJ117" s="31"/>
      <c r="AK117" s="31"/>
      <c r="AL117" s="31" t="str">
        <f t="shared" si="84"/>
        <v/>
      </c>
      <c r="AM117" s="31">
        <f ca="1">N(AND(fighting&gt;2,SUMIF(figspec,"Spears",figspecval)&gt;0))</f>
        <v>1</v>
      </c>
      <c r="AN117" s="31">
        <f t="shared" si="78"/>
        <v>116</v>
      </c>
      <c r="AO117" s="35" t="s">
        <v>115</v>
      </c>
      <c r="AP117" s="134"/>
      <c r="AQ117" s="47"/>
      <c r="AR117" s="134"/>
      <c r="AS117" s="47"/>
      <c r="AT117" s="134"/>
      <c r="AU117" s="47"/>
      <c r="AV117" s="134"/>
      <c r="AW117" s="47"/>
      <c r="AX117" s="134"/>
      <c r="AY117" s="47"/>
      <c r="AZ117" s="134"/>
      <c r="BA117" s="47"/>
      <c r="BB117" s="134"/>
      <c r="BC117" s="47"/>
      <c r="BD117" s="134"/>
      <c r="BE117" s="47"/>
      <c r="BF117" s="134"/>
      <c r="BG117" s="47"/>
      <c r="BH117" s="134"/>
      <c r="BI117" s="47"/>
      <c r="BJ117" s="134"/>
      <c r="BK117" s="47"/>
      <c r="BL117" s="134"/>
      <c r="BM117" s="47"/>
      <c r="BN117" s="134"/>
      <c r="BO117" s="47"/>
      <c r="BP117" s="134"/>
      <c r="BQ117" s="47"/>
      <c r="BR117" s="134"/>
      <c r="BS117" s="47"/>
      <c r="BT117" s="134"/>
      <c r="BU117" s="47"/>
      <c r="BV117" s="134"/>
      <c r="BW117" s="47"/>
      <c r="BX117" s="134"/>
      <c r="BY117" s="47"/>
      <c r="BZ117" s="134"/>
      <c r="CA117" s="47"/>
      <c r="CB117" s="120"/>
      <c r="CC117" s="120"/>
      <c r="CD117" s="120"/>
      <c r="CE117" s="120"/>
      <c r="CF117" s="120"/>
      <c r="CG117" s="120"/>
      <c r="CH117" s="120"/>
      <c r="CI117" s="120"/>
      <c r="CJ117" s="120"/>
      <c r="CK117" s="179">
        <f t="shared" ca="1" si="55"/>
        <v>116</v>
      </c>
      <c r="CL117" s="37" t="str">
        <f t="shared" ca="1" si="85"/>
        <v/>
      </c>
      <c r="CM117" s="36">
        <f t="shared" ca="1" si="71"/>
        <v>116</v>
      </c>
      <c r="CN117" s="37" t="str">
        <f ca="1">IF($AN117&gt;CN$1,"",INDEX($AG$2:$AG$226,SMALL(CM$2:$CM$226,$AN117),1))</f>
        <v/>
      </c>
      <c r="CO117" s="36">
        <f t="shared" ca="1" si="72"/>
        <v>116</v>
      </c>
      <c r="CP117" s="37" t="str">
        <f t="shared" ca="1" si="73"/>
        <v/>
      </c>
      <c r="CS117" s="28">
        <f t="shared" ca="1" si="57"/>
        <v>116</v>
      </c>
      <c r="CT117" s="37" t="str">
        <f t="shared" ca="1" si="86"/>
        <v/>
      </c>
      <c r="CU117" s="28">
        <f t="shared" ca="1" si="57"/>
        <v>116</v>
      </c>
      <c r="CV117" s="37" t="str">
        <f t="shared" ca="1" si="87"/>
        <v/>
      </c>
      <c r="CW117" s="28">
        <f t="shared" ca="1" si="60"/>
        <v>116</v>
      </c>
      <c r="CX117" s="37" t="str">
        <f t="shared" ca="1" si="88"/>
        <v/>
      </c>
      <c r="CY117" s="28">
        <f t="shared" ca="1" si="62"/>
        <v>116</v>
      </c>
      <c r="CZ117" s="37" t="str">
        <f t="shared" ca="1" si="88"/>
        <v/>
      </c>
      <c r="DA117" s="28">
        <f t="shared" ca="1" si="63"/>
        <v>116</v>
      </c>
      <c r="DB117" s="37" t="str">
        <f t="shared" ca="1" si="89"/>
        <v/>
      </c>
      <c r="DC117" s="28">
        <f t="shared" ca="1" si="65"/>
        <v>116</v>
      </c>
      <c r="DD117" s="37" t="str">
        <f t="shared" ca="1" si="90"/>
        <v/>
      </c>
      <c r="DN117" s="32">
        <v>116</v>
      </c>
      <c r="DO117" s="34" t="s">
        <v>661</v>
      </c>
      <c r="DP117" s="38">
        <f t="shared" si="100"/>
        <v>0</v>
      </c>
      <c r="DQ117" s="173" t="str">
        <f t="shared" si="74"/>
        <v>(Cunn) 0</v>
      </c>
      <c r="DR117" s="36" t="str">
        <f t="shared" si="75"/>
        <v/>
      </c>
      <c r="DV117" s="176">
        <f t="shared" si="67"/>
        <v>0</v>
      </c>
      <c r="DW117" s="243">
        <f>IF(COUNTIF('Char Sheet p1'!$AP$7:$AP$35,DQ117)=0,0,ROUNDDOWN(SUMIF('Char Sheet p1'!$AP$7:$AP$35,DQ117,'Char Sheet p1'!$AQ$7:$AQ$35)/10,0))</f>
        <v>0</v>
      </c>
      <c r="DX117" s="240">
        <f t="shared" si="77"/>
        <v>0</v>
      </c>
      <c r="DY117" s="36">
        <f t="shared" si="102"/>
        <v>12</v>
      </c>
      <c r="DZ117" s="36" t="str">
        <f t="shared" si="68"/>
        <v/>
      </c>
      <c r="EE117" s="36">
        <f t="shared" si="101"/>
        <v>2</v>
      </c>
    </row>
    <row r="118" spans="3:135">
      <c r="AG118" s="32" t="s">
        <v>903</v>
      </c>
      <c r="AH118" s="34" t="s">
        <v>880</v>
      </c>
      <c r="AI118" s="34" t="s">
        <v>857</v>
      </c>
      <c r="AJ118" s="31"/>
      <c r="AK118" s="31"/>
      <c r="AL118" s="31" t="str">
        <f t="shared" si="84"/>
        <v/>
      </c>
      <c r="AM118" s="31">
        <f>COUNTIF(qualities,"Spear Fighter I")</f>
        <v>0</v>
      </c>
      <c r="AN118" s="31">
        <f t="shared" si="78"/>
        <v>117</v>
      </c>
      <c r="AO118" s="35" t="s">
        <v>116</v>
      </c>
      <c r="AP118" s="134"/>
      <c r="AQ118" s="47"/>
      <c r="AR118" s="134"/>
      <c r="AS118" s="47"/>
      <c r="AT118" s="134"/>
      <c r="AU118" s="47"/>
      <c r="AV118" s="134"/>
      <c r="AW118" s="47"/>
      <c r="AX118" s="134"/>
      <c r="AY118" s="47"/>
      <c r="AZ118" s="134"/>
      <c r="BA118" s="47"/>
      <c r="BB118" s="134"/>
      <c r="BC118" s="47"/>
      <c r="BD118" s="134"/>
      <c r="BE118" s="47"/>
      <c r="BF118" s="134"/>
      <c r="BG118" s="47"/>
      <c r="BH118" s="134"/>
      <c r="BI118" s="47"/>
      <c r="BJ118" s="134"/>
      <c r="BK118" s="47"/>
      <c r="BL118" s="134"/>
      <c r="BM118" s="47"/>
      <c r="BN118" s="134"/>
      <c r="BO118" s="47"/>
      <c r="BP118" s="134"/>
      <c r="BQ118" s="47"/>
      <c r="BR118" s="134"/>
      <c r="BS118" s="47"/>
      <c r="BT118" s="134"/>
      <c r="BU118" s="47"/>
      <c r="BV118" s="134"/>
      <c r="BW118" s="47"/>
      <c r="BX118" s="134"/>
      <c r="BY118" s="47"/>
      <c r="BZ118" s="134"/>
      <c r="CA118" s="47"/>
      <c r="CB118" s="120"/>
      <c r="CC118" s="120"/>
      <c r="CD118" s="120"/>
      <c r="CE118" s="120"/>
      <c r="CF118" s="120"/>
      <c r="CG118" s="120"/>
      <c r="CH118" s="120"/>
      <c r="CI118" s="120"/>
      <c r="CJ118" s="120"/>
      <c r="CK118" s="179" t="str">
        <f t="shared" si="55"/>
        <v/>
      </c>
      <c r="CL118" s="37" t="str">
        <f t="shared" ca="1" si="85"/>
        <v/>
      </c>
      <c r="CM118" s="36" t="str">
        <f t="shared" si="71"/>
        <v/>
      </c>
      <c r="CN118" s="37" t="str">
        <f ca="1">IF($AN118&gt;CN$1,"",INDEX($AG$2:$AG$226,SMALL(CM$2:$CM$226,$AN118),1))</f>
        <v/>
      </c>
      <c r="CO118" s="36" t="str">
        <f t="shared" si="72"/>
        <v/>
      </c>
      <c r="CP118" s="37" t="str">
        <f t="shared" ca="1" si="73"/>
        <v/>
      </c>
      <c r="CS118" s="28" t="str">
        <f t="shared" si="57"/>
        <v/>
      </c>
      <c r="CT118" s="37" t="str">
        <f t="shared" ca="1" si="86"/>
        <v/>
      </c>
      <c r="CU118" s="28" t="str">
        <f t="shared" si="57"/>
        <v/>
      </c>
      <c r="CV118" s="37" t="str">
        <f t="shared" ca="1" si="87"/>
        <v/>
      </c>
      <c r="CW118" s="28" t="str">
        <f t="shared" si="60"/>
        <v/>
      </c>
      <c r="CX118" s="37" t="str">
        <f t="shared" ca="1" si="88"/>
        <v/>
      </c>
      <c r="CY118" s="28" t="str">
        <f t="shared" si="62"/>
        <v/>
      </c>
      <c r="CZ118" s="37" t="str">
        <f t="shared" ca="1" si="88"/>
        <v/>
      </c>
      <c r="DA118" s="28" t="str">
        <f t="shared" si="63"/>
        <v/>
      </c>
      <c r="DB118" s="37" t="str">
        <f t="shared" ca="1" si="89"/>
        <v/>
      </c>
      <c r="DC118" s="28" t="str">
        <f t="shared" si="65"/>
        <v/>
      </c>
      <c r="DD118" s="37" t="str">
        <f t="shared" ca="1" si="90"/>
        <v/>
      </c>
      <c r="DN118" s="32">
        <v>117</v>
      </c>
      <c r="DO118" s="34" t="s">
        <v>661</v>
      </c>
      <c r="DP118" s="38">
        <f t="shared" si="100"/>
        <v>0</v>
      </c>
      <c r="DQ118" s="173" t="str">
        <f t="shared" si="74"/>
        <v>(Cunn) 0</v>
      </c>
      <c r="DR118" s="36" t="str">
        <f t="shared" si="75"/>
        <v/>
      </c>
      <c r="DV118" s="176">
        <f t="shared" si="67"/>
        <v>0</v>
      </c>
      <c r="DW118" s="243">
        <f>IF(COUNTIF('Char Sheet p1'!$AP$7:$AP$35,DQ118)=0,0,ROUNDDOWN(SUMIF('Char Sheet p1'!$AP$7:$AP$35,DQ118,'Char Sheet p1'!$AQ$7:$AQ$35)/10,0))</f>
        <v>0</v>
      </c>
      <c r="DX118" s="240">
        <f t="shared" si="77"/>
        <v>0</v>
      </c>
      <c r="DY118" s="36">
        <f t="shared" si="102"/>
        <v>13</v>
      </c>
      <c r="DZ118" s="36" t="str">
        <f t="shared" si="68"/>
        <v/>
      </c>
      <c r="EE118" s="36">
        <f t="shared" si="101"/>
        <v>2</v>
      </c>
    </row>
    <row r="119" spans="3:135">
      <c r="AG119" s="32" t="s">
        <v>904</v>
      </c>
      <c r="AH119" s="34" t="s">
        <v>880</v>
      </c>
      <c r="AI119" s="34" t="s">
        <v>934</v>
      </c>
      <c r="AJ119" s="31"/>
      <c r="AK119" s="31"/>
      <c r="AL119" s="31" t="str">
        <f t="shared" si="84"/>
        <v/>
      </c>
      <c r="AM119" s="31">
        <f>N(AND(athletics&gt;4,COUNTIF(qualities,"Spear Fighter II")&gt;0))</f>
        <v>0</v>
      </c>
      <c r="AN119" s="31">
        <f t="shared" si="78"/>
        <v>118</v>
      </c>
      <c r="AO119" s="35" t="s">
        <v>117</v>
      </c>
      <c r="AP119" s="134"/>
      <c r="AQ119" s="47"/>
      <c r="AR119" s="134"/>
      <c r="AS119" s="47"/>
      <c r="AT119" s="134"/>
      <c r="AU119" s="47"/>
      <c r="AV119" s="134"/>
      <c r="AW119" s="47"/>
      <c r="AX119" s="134"/>
      <c r="AY119" s="47"/>
      <c r="AZ119" s="134"/>
      <c r="BA119" s="47"/>
      <c r="BB119" s="134"/>
      <c r="BC119" s="47"/>
      <c r="BD119" s="134"/>
      <c r="BE119" s="47"/>
      <c r="BF119" s="134"/>
      <c r="BG119" s="47"/>
      <c r="BH119" s="134"/>
      <c r="BI119" s="47"/>
      <c r="BJ119" s="134"/>
      <c r="BK119" s="47"/>
      <c r="BL119" s="134"/>
      <c r="BM119" s="47"/>
      <c r="BN119" s="134"/>
      <c r="BO119" s="47"/>
      <c r="BP119" s="134"/>
      <c r="BQ119" s="47"/>
      <c r="BR119" s="134"/>
      <c r="BS119" s="47"/>
      <c r="BT119" s="134"/>
      <c r="BU119" s="47"/>
      <c r="BV119" s="134"/>
      <c r="BW119" s="47"/>
      <c r="BX119" s="134"/>
      <c r="BY119" s="47"/>
      <c r="BZ119" s="134"/>
      <c r="CA119" s="47"/>
      <c r="CB119" s="120"/>
      <c r="CC119" s="120"/>
      <c r="CD119" s="120"/>
      <c r="CE119" s="120"/>
      <c r="CF119" s="120"/>
      <c r="CG119" s="120"/>
      <c r="CH119" s="120"/>
      <c r="CI119" s="120"/>
      <c r="CJ119" s="120"/>
      <c r="CK119" s="179" t="str">
        <f t="shared" si="55"/>
        <v/>
      </c>
      <c r="CL119" s="37" t="str">
        <f t="shared" ca="1" si="85"/>
        <v/>
      </c>
      <c r="CM119" s="36" t="str">
        <f t="shared" si="71"/>
        <v/>
      </c>
      <c r="CN119" s="37" t="str">
        <f ca="1">IF($AN119&gt;CN$1,"",INDEX($AG$2:$AG$226,SMALL(CM$2:$CM$226,$AN119),1))</f>
        <v/>
      </c>
      <c r="CO119" s="36" t="str">
        <f t="shared" si="72"/>
        <v/>
      </c>
      <c r="CP119" s="37" t="str">
        <f t="shared" ca="1" si="73"/>
        <v/>
      </c>
      <c r="CS119" s="28" t="str">
        <f t="shared" si="57"/>
        <v/>
      </c>
      <c r="CT119" s="37" t="str">
        <f t="shared" ca="1" si="86"/>
        <v/>
      </c>
      <c r="CU119" s="28" t="str">
        <f t="shared" si="57"/>
        <v/>
      </c>
      <c r="CV119" s="37" t="str">
        <f t="shared" ca="1" si="87"/>
        <v/>
      </c>
      <c r="CW119" s="28" t="str">
        <f t="shared" si="60"/>
        <v/>
      </c>
      <c r="CX119" s="37" t="str">
        <f t="shared" ca="1" si="88"/>
        <v/>
      </c>
      <c r="CY119" s="28" t="str">
        <f t="shared" si="62"/>
        <v/>
      </c>
      <c r="CZ119" s="37" t="str">
        <f t="shared" ca="1" si="88"/>
        <v/>
      </c>
      <c r="DA119" s="28" t="str">
        <f t="shared" si="63"/>
        <v/>
      </c>
      <c r="DB119" s="37" t="str">
        <f t="shared" ca="1" si="89"/>
        <v/>
      </c>
      <c r="DC119" s="28" t="str">
        <f t="shared" si="65"/>
        <v/>
      </c>
      <c r="DD119" s="37" t="str">
        <f t="shared" ca="1" si="90"/>
        <v/>
      </c>
      <c r="DN119" s="32">
        <v>118</v>
      </c>
      <c r="DO119" s="34" t="s">
        <v>661</v>
      </c>
      <c r="DP119" s="38">
        <f t="shared" si="100"/>
        <v>0</v>
      </c>
      <c r="DQ119" s="173" t="str">
        <f t="shared" si="74"/>
        <v>(Cunn) 0</v>
      </c>
      <c r="DR119" s="36" t="str">
        <f t="shared" si="75"/>
        <v/>
      </c>
      <c r="DV119" s="176">
        <f t="shared" si="67"/>
        <v>0</v>
      </c>
      <c r="DW119" s="243">
        <f>IF(COUNTIF('Char Sheet p1'!$AP$7:$AP$35,DQ119)=0,0,ROUNDDOWN(SUMIF('Char Sheet p1'!$AP$7:$AP$35,DQ119,'Char Sheet p1'!$AQ$7:$AQ$35)/10,0))</f>
        <v>0</v>
      </c>
      <c r="DX119" s="240">
        <f t="shared" si="77"/>
        <v>0</v>
      </c>
      <c r="DY119" s="36">
        <f t="shared" si="102"/>
        <v>14</v>
      </c>
      <c r="DZ119" s="36" t="str">
        <f t="shared" si="68"/>
        <v/>
      </c>
      <c r="EE119" s="36">
        <f t="shared" si="101"/>
        <v>2</v>
      </c>
    </row>
    <row r="120" spans="3:135">
      <c r="AG120" s="32" t="s">
        <v>818</v>
      </c>
      <c r="AH120" s="34" t="s">
        <v>789</v>
      </c>
      <c r="AI120" s="34"/>
      <c r="AJ120" s="31"/>
      <c r="AK120" s="31"/>
      <c r="AL120" s="31" t="str">
        <f t="shared" si="84"/>
        <v/>
      </c>
      <c r="AM120" s="31">
        <v>1</v>
      </c>
      <c r="AN120" s="31">
        <f t="shared" si="78"/>
        <v>119</v>
      </c>
      <c r="AO120" s="35" t="s">
        <v>118</v>
      </c>
      <c r="AP120" s="134"/>
      <c r="AQ120" s="47"/>
      <c r="AR120" s="134"/>
      <c r="AS120" s="47"/>
      <c r="AT120" s="134"/>
      <c r="AU120" s="47"/>
      <c r="AV120" s="134"/>
      <c r="AW120" s="47"/>
      <c r="AX120" s="134"/>
      <c r="AY120" s="47"/>
      <c r="AZ120" s="134"/>
      <c r="BA120" s="47"/>
      <c r="BB120" s="134"/>
      <c r="BC120" s="47"/>
      <c r="BD120" s="134"/>
      <c r="BE120" s="47"/>
      <c r="BF120" s="134"/>
      <c r="BG120" s="47"/>
      <c r="BH120" s="134"/>
      <c r="BI120" s="47"/>
      <c r="BJ120" s="134"/>
      <c r="BK120" s="47"/>
      <c r="BL120" s="134"/>
      <c r="BM120" s="47"/>
      <c r="BN120" s="134"/>
      <c r="BO120" s="47"/>
      <c r="BP120" s="134"/>
      <c r="BQ120" s="47"/>
      <c r="BR120" s="134"/>
      <c r="BS120" s="47"/>
      <c r="BT120" s="134"/>
      <c r="BU120" s="47"/>
      <c r="BV120" s="134"/>
      <c r="BW120" s="47"/>
      <c r="BX120" s="134"/>
      <c r="BY120" s="47"/>
      <c r="BZ120" s="134"/>
      <c r="CA120" s="47"/>
      <c r="CB120" s="120"/>
      <c r="CC120" s="120"/>
      <c r="CD120" s="120"/>
      <c r="CE120" s="120"/>
      <c r="CF120" s="120"/>
      <c r="CG120" s="120"/>
      <c r="CH120" s="120"/>
      <c r="CI120" s="120"/>
      <c r="CJ120" s="120"/>
      <c r="CK120" s="179">
        <f t="shared" si="55"/>
        <v>119</v>
      </c>
      <c r="CL120" s="37" t="str">
        <f t="shared" ca="1" si="85"/>
        <v/>
      </c>
      <c r="CM120" s="36">
        <f t="shared" si="71"/>
        <v>119</v>
      </c>
      <c r="CN120" s="37" t="str">
        <f ca="1">IF($AN120&gt;CN$1,"",INDEX($AG$2:$AG$226,SMALL(CM$2:$CM$226,$AN120),1))</f>
        <v/>
      </c>
      <c r="CO120" s="36">
        <f t="shared" si="72"/>
        <v>119</v>
      </c>
      <c r="CP120" s="37" t="str">
        <f t="shared" ca="1" si="73"/>
        <v/>
      </c>
      <c r="CS120" s="28">
        <f t="shared" si="57"/>
        <v>119</v>
      </c>
      <c r="CT120" s="37" t="str">
        <f t="shared" ca="1" si="86"/>
        <v/>
      </c>
      <c r="CU120" s="28">
        <f t="shared" si="57"/>
        <v>119</v>
      </c>
      <c r="CV120" s="37" t="str">
        <f t="shared" ca="1" si="87"/>
        <v/>
      </c>
      <c r="CW120" s="28">
        <f t="shared" si="60"/>
        <v>119</v>
      </c>
      <c r="CX120" s="37" t="str">
        <f t="shared" ca="1" si="88"/>
        <v/>
      </c>
      <c r="CY120" s="28">
        <f t="shared" si="62"/>
        <v>119</v>
      </c>
      <c r="CZ120" s="37" t="str">
        <f t="shared" ca="1" si="88"/>
        <v/>
      </c>
      <c r="DA120" s="28">
        <f t="shared" si="63"/>
        <v>119</v>
      </c>
      <c r="DB120" s="37" t="str">
        <f t="shared" ca="1" si="89"/>
        <v/>
      </c>
      <c r="DC120" s="28">
        <f t="shared" si="65"/>
        <v>119</v>
      </c>
      <c r="DD120" s="37" t="str">
        <f t="shared" ca="1" si="90"/>
        <v/>
      </c>
      <c r="DN120" s="32">
        <v>119</v>
      </c>
      <c r="DO120" s="34" t="s">
        <v>661</v>
      </c>
      <c r="DP120" s="38">
        <f t="shared" si="100"/>
        <v>0</v>
      </c>
      <c r="DQ120" s="173" t="str">
        <f t="shared" si="74"/>
        <v>(Cunn) 0</v>
      </c>
      <c r="DR120" s="36" t="str">
        <f t="shared" si="75"/>
        <v/>
      </c>
      <c r="DV120" s="176">
        <f t="shared" si="67"/>
        <v>0</v>
      </c>
      <c r="DW120" s="243">
        <f>IF(COUNTIF('Char Sheet p1'!$AP$7:$AP$35,DQ120)=0,0,ROUNDDOWN(SUMIF('Char Sheet p1'!$AP$7:$AP$35,DQ120,'Char Sheet p1'!$AQ$7:$AQ$35)/10,0))</f>
        <v>0</v>
      </c>
      <c r="DX120" s="240">
        <f t="shared" si="77"/>
        <v>0</v>
      </c>
      <c r="DY120" s="36">
        <f t="shared" si="102"/>
        <v>15</v>
      </c>
      <c r="DZ120" s="36" t="str">
        <f t="shared" si="68"/>
        <v/>
      </c>
      <c r="EE120" s="36">
        <f t="shared" si="101"/>
        <v>2</v>
      </c>
    </row>
    <row r="121" spans="3:135">
      <c r="AG121" s="32" t="s">
        <v>876</v>
      </c>
      <c r="AH121" s="34" t="s">
        <v>881</v>
      </c>
      <c r="AI121" s="34" t="s">
        <v>821</v>
      </c>
      <c r="AJ121" s="31"/>
      <c r="AK121" s="31"/>
      <c r="AL121" s="31" t="str">
        <f t="shared" si="84"/>
        <v/>
      </c>
      <c r="AM121" s="31">
        <f ca="1">N(AND(will&gt;2,SUMIF(wilspec,"Dedication",wilspecval)&gt;0))</f>
        <v>0</v>
      </c>
      <c r="AN121" s="31">
        <f t="shared" si="78"/>
        <v>120</v>
      </c>
      <c r="AO121" s="35" t="s">
        <v>119</v>
      </c>
      <c r="AP121" s="134"/>
      <c r="AQ121" s="47"/>
      <c r="AR121" s="134"/>
      <c r="AS121" s="47"/>
      <c r="AT121" s="134"/>
      <c r="AU121" s="47"/>
      <c r="AV121" s="134"/>
      <c r="AW121" s="47"/>
      <c r="AX121" s="134"/>
      <c r="AY121" s="47"/>
      <c r="AZ121" s="134"/>
      <c r="BA121" s="47"/>
      <c r="BB121" s="134"/>
      <c r="BC121" s="47"/>
      <c r="BD121" s="134"/>
      <c r="BE121" s="47"/>
      <c r="BF121" s="134"/>
      <c r="BG121" s="47"/>
      <c r="BH121" s="134"/>
      <c r="BI121" s="47"/>
      <c r="BJ121" s="134"/>
      <c r="BK121" s="47"/>
      <c r="BL121" s="134"/>
      <c r="BM121" s="47"/>
      <c r="BN121" s="134"/>
      <c r="BO121" s="47"/>
      <c r="BP121" s="134"/>
      <c r="BQ121" s="47"/>
      <c r="BR121" s="134"/>
      <c r="BS121" s="47"/>
      <c r="BT121" s="134"/>
      <c r="BU121" s="47"/>
      <c r="BV121" s="134"/>
      <c r="BW121" s="47"/>
      <c r="BX121" s="134"/>
      <c r="BY121" s="47"/>
      <c r="BZ121" s="134"/>
      <c r="CA121" s="47"/>
      <c r="CB121" s="120"/>
      <c r="CC121" s="120"/>
      <c r="CD121" s="120">
        <f ca="1">SUMIF(wilspec,"Dedication",wilspecval)</f>
        <v>0</v>
      </c>
      <c r="CE121" s="120"/>
      <c r="CF121" s="120"/>
      <c r="CG121" s="120"/>
      <c r="CH121" s="120"/>
      <c r="CI121" s="120"/>
      <c r="CJ121" s="120"/>
      <c r="CK121" s="179" t="str">
        <f t="shared" ca="1" si="55"/>
        <v/>
      </c>
      <c r="CL121" s="37" t="str">
        <f t="shared" ca="1" si="85"/>
        <v/>
      </c>
      <c r="CM121" s="36" t="str">
        <f t="shared" ca="1" si="71"/>
        <v/>
      </c>
      <c r="CN121" s="37" t="str">
        <f ca="1">IF($AN121&gt;CN$1,"",INDEX($AG$2:$AG$226,SMALL(CM$2:$CM$226,$AN121),1))</f>
        <v/>
      </c>
      <c r="CO121" s="36" t="str">
        <f t="shared" ca="1" si="72"/>
        <v/>
      </c>
      <c r="CP121" s="37" t="str">
        <f t="shared" ca="1" si="73"/>
        <v/>
      </c>
      <c r="CS121" s="28" t="str">
        <f t="shared" ca="1" si="57"/>
        <v/>
      </c>
      <c r="CT121" s="37" t="str">
        <f t="shared" ca="1" si="86"/>
        <v/>
      </c>
      <c r="CU121" s="28" t="str">
        <f t="shared" ca="1" si="57"/>
        <v/>
      </c>
      <c r="CV121" s="37" t="str">
        <f t="shared" ca="1" si="87"/>
        <v/>
      </c>
      <c r="CW121" s="28" t="str">
        <f t="shared" ca="1" si="60"/>
        <v/>
      </c>
      <c r="CX121" s="37" t="str">
        <f t="shared" ca="1" si="88"/>
        <v/>
      </c>
      <c r="CY121" s="28" t="str">
        <f t="shared" ca="1" si="62"/>
        <v/>
      </c>
      <c r="CZ121" s="37" t="str">
        <f t="shared" ca="1" si="88"/>
        <v/>
      </c>
      <c r="DA121" s="28" t="str">
        <f t="shared" ca="1" si="63"/>
        <v/>
      </c>
      <c r="DB121" s="37" t="str">
        <f t="shared" ca="1" si="89"/>
        <v/>
      </c>
      <c r="DC121" s="28" t="str">
        <f t="shared" ca="1" si="65"/>
        <v/>
      </c>
      <c r="DD121" s="37" t="str">
        <f t="shared" ca="1" si="90"/>
        <v/>
      </c>
      <c r="DN121" s="32">
        <v>120</v>
      </c>
      <c r="DO121" s="34" t="s">
        <v>661</v>
      </c>
      <c r="DP121" s="38">
        <f t="shared" si="100"/>
        <v>0</v>
      </c>
      <c r="DQ121" s="173" t="str">
        <f t="shared" si="74"/>
        <v>(Cunn) 0</v>
      </c>
      <c r="DR121" s="36" t="str">
        <f t="shared" si="75"/>
        <v/>
      </c>
      <c r="DV121" s="176">
        <f t="shared" si="67"/>
        <v>0</v>
      </c>
      <c r="DW121" s="243">
        <f>IF(COUNTIF('Char Sheet p1'!$AP$7:$AP$35,DQ121)=0,0,ROUNDDOWN(SUMIF('Char Sheet p1'!$AP$7:$AP$35,DQ121,'Char Sheet p1'!$AQ$7:$AQ$35)/10,0))</f>
        <v>0</v>
      </c>
      <c r="DX121" s="240">
        <f t="shared" si="77"/>
        <v>0</v>
      </c>
      <c r="DY121" s="36">
        <f t="shared" si="102"/>
        <v>16</v>
      </c>
      <c r="DZ121" s="36" t="str">
        <f t="shared" si="68"/>
        <v/>
      </c>
      <c r="EE121" s="36">
        <f t="shared" si="101"/>
        <v>2</v>
      </c>
    </row>
    <row r="122" spans="3:135">
      <c r="AG122" s="32" t="s">
        <v>140</v>
      </c>
      <c r="AH122" s="34" t="s">
        <v>773</v>
      </c>
      <c r="AI122" s="34"/>
      <c r="AJ122" s="31"/>
      <c r="AK122" s="31"/>
      <c r="AL122" s="31" t="str">
        <f t="shared" si="84"/>
        <v/>
      </c>
      <c r="AM122" s="31">
        <v>1</v>
      </c>
      <c r="AN122" s="31">
        <f t="shared" si="78"/>
        <v>121</v>
      </c>
      <c r="AO122" s="47" t="s">
        <v>121</v>
      </c>
      <c r="AP122" s="134"/>
      <c r="AQ122" s="47">
        <v>1</v>
      </c>
      <c r="AR122" s="134"/>
      <c r="AS122" s="47"/>
      <c r="AT122" s="134"/>
      <c r="AU122" s="47"/>
      <c r="AV122" s="134"/>
      <c r="AW122" s="47"/>
      <c r="AX122" s="134"/>
      <c r="AY122" s="47"/>
      <c r="AZ122" s="134"/>
      <c r="BA122" s="47"/>
      <c r="BB122" s="134"/>
      <c r="BC122" s="47"/>
      <c r="BD122" s="134"/>
      <c r="BE122" s="47"/>
      <c r="BF122" s="134"/>
      <c r="BG122" s="47"/>
      <c r="BH122" s="134"/>
      <c r="BI122" s="47"/>
      <c r="BJ122" s="134"/>
      <c r="BK122" s="47"/>
      <c r="BL122" s="134"/>
      <c r="BM122" s="47"/>
      <c r="BN122" s="134"/>
      <c r="BO122" s="47"/>
      <c r="BP122" s="134"/>
      <c r="BQ122" s="47"/>
      <c r="BR122" s="134"/>
      <c r="BS122" s="47"/>
      <c r="BT122" s="134"/>
      <c r="BU122" s="47"/>
      <c r="BV122" s="134"/>
      <c r="BW122" s="47"/>
      <c r="BX122" s="134"/>
      <c r="BY122" s="47"/>
      <c r="BZ122" s="134"/>
      <c r="CA122" s="47"/>
      <c r="CB122" s="120"/>
      <c r="CC122" s="120"/>
      <c r="CD122" s="120"/>
      <c r="CE122" s="120"/>
      <c r="CF122" s="120"/>
      <c r="CG122" s="120"/>
      <c r="CH122" s="120"/>
      <c r="CI122" s="120"/>
      <c r="CJ122" s="120"/>
      <c r="CK122" s="179">
        <f t="shared" si="55"/>
        <v>121</v>
      </c>
      <c r="CL122" s="37" t="str">
        <f t="shared" ca="1" si="85"/>
        <v/>
      </c>
      <c r="CM122" s="36">
        <f t="shared" si="71"/>
        <v>121</v>
      </c>
      <c r="CN122" s="37" t="str">
        <f ca="1">IF($AN122&gt;CN$1,"",INDEX($AG$2:$AG$226,SMALL(CM$2:$CM$226,$AN122),1))</f>
        <v/>
      </c>
      <c r="CO122" s="36">
        <f t="shared" si="72"/>
        <v>121</v>
      </c>
      <c r="CP122" s="37" t="str">
        <f t="shared" ca="1" si="73"/>
        <v/>
      </c>
      <c r="CS122" s="28">
        <f t="shared" si="57"/>
        <v>121</v>
      </c>
      <c r="CT122" s="37" t="str">
        <f t="shared" ca="1" si="86"/>
        <v/>
      </c>
      <c r="CU122" s="28">
        <f t="shared" si="57"/>
        <v>121</v>
      </c>
      <c r="CV122" s="37" t="str">
        <f t="shared" ca="1" si="87"/>
        <v/>
      </c>
      <c r="CW122" s="28">
        <f t="shared" si="60"/>
        <v>121</v>
      </c>
      <c r="CX122" s="37" t="str">
        <f t="shared" ca="1" si="88"/>
        <v/>
      </c>
      <c r="CY122" s="28">
        <f t="shared" si="62"/>
        <v>121</v>
      </c>
      <c r="CZ122" s="37" t="str">
        <f t="shared" ca="1" si="88"/>
        <v/>
      </c>
      <c r="DA122" s="28">
        <f t="shared" si="63"/>
        <v>121</v>
      </c>
      <c r="DB122" s="37" t="str">
        <f t="shared" ca="1" si="89"/>
        <v/>
      </c>
      <c r="DC122" s="28">
        <f t="shared" si="65"/>
        <v>121</v>
      </c>
      <c r="DD122" s="37" t="str">
        <f t="shared" ca="1" si="90"/>
        <v/>
      </c>
      <c r="DN122" s="32">
        <v>121</v>
      </c>
      <c r="DO122" s="34" t="s">
        <v>661</v>
      </c>
      <c r="DP122" s="38">
        <f t="shared" si="100"/>
        <v>0</v>
      </c>
      <c r="DQ122" s="173" t="str">
        <f t="shared" si="74"/>
        <v>(Cunn) 0</v>
      </c>
      <c r="DR122" s="36" t="str">
        <f t="shared" si="75"/>
        <v/>
      </c>
      <c r="DV122" s="176">
        <f t="shared" si="67"/>
        <v>0</v>
      </c>
      <c r="DW122" s="243">
        <f>IF(COUNTIF('Char Sheet p1'!$AP$7:$AP$35,DQ122)=0,0,ROUNDDOWN(SUMIF('Char Sheet p1'!$AP$7:$AP$35,DQ122,'Char Sheet p1'!$AQ$7:$AQ$35)/10,0))</f>
        <v>0</v>
      </c>
      <c r="DX122" s="240">
        <f t="shared" si="77"/>
        <v>0</v>
      </c>
      <c r="DY122" s="36">
        <f t="shared" si="102"/>
        <v>17</v>
      </c>
      <c r="DZ122" s="36" t="str">
        <f t="shared" si="68"/>
        <v/>
      </c>
      <c r="EE122" s="36">
        <f t="shared" si="101"/>
        <v>2</v>
      </c>
    </row>
    <row r="123" spans="3:135">
      <c r="AG123" s="32" t="s">
        <v>141</v>
      </c>
      <c r="AH123" s="34" t="s">
        <v>773</v>
      </c>
      <c r="AI123" s="34"/>
      <c r="AJ123" s="31"/>
      <c r="AK123" s="31"/>
      <c r="AL123" s="31" t="str">
        <f t="shared" si="84"/>
        <v/>
      </c>
      <c r="AM123" s="31">
        <v>1</v>
      </c>
      <c r="AN123" s="31">
        <f t="shared" si="78"/>
        <v>122</v>
      </c>
      <c r="AO123" s="35" t="s">
        <v>122</v>
      </c>
      <c r="AP123" s="134"/>
      <c r="AQ123" s="47"/>
      <c r="AR123" s="134"/>
      <c r="AS123" s="47">
        <v>1</v>
      </c>
      <c r="AT123" s="134"/>
      <c r="AU123" s="47"/>
      <c r="AV123" s="134"/>
      <c r="AW123" s="47"/>
      <c r="AX123" s="134"/>
      <c r="AY123" s="47"/>
      <c r="AZ123" s="134"/>
      <c r="BA123" s="47"/>
      <c r="BB123" s="134"/>
      <c r="BC123" s="47"/>
      <c r="BD123" s="134"/>
      <c r="BE123" s="47"/>
      <c r="BF123" s="134"/>
      <c r="BG123" s="47"/>
      <c r="BH123" s="134"/>
      <c r="BI123" s="47"/>
      <c r="BJ123" s="134"/>
      <c r="BK123" s="47"/>
      <c r="BL123" s="134"/>
      <c r="BM123" s="47"/>
      <c r="BN123" s="134"/>
      <c r="BO123" s="47"/>
      <c r="BP123" s="134"/>
      <c r="BQ123" s="47"/>
      <c r="BR123" s="134"/>
      <c r="BS123" s="47"/>
      <c r="BT123" s="134"/>
      <c r="BU123" s="47"/>
      <c r="BV123" s="134"/>
      <c r="BW123" s="47"/>
      <c r="BX123" s="134"/>
      <c r="BY123" s="47"/>
      <c r="BZ123" s="134"/>
      <c r="CA123" s="47"/>
      <c r="CB123" s="120"/>
      <c r="CC123" s="120"/>
      <c r="CD123" s="120"/>
      <c r="CE123" s="120"/>
      <c r="CF123" s="120"/>
      <c r="CG123" s="120"/>
      <c r="CH123" s="120"/>
      <c r="CI123" s="120"/>
      <c r="CJ123" s="120"/>
      <c r="CK123" s="179">
        <f t="shared" si="55"/>
        <v>122</v>
      </c>
      <c r="CL123" s="37" t="str">
        <f t="shared" ca="1" si="85"/>
        <v/>
      </c>
      <c r="CM123" s="36">
        <f t="shared" si="71"/>
        <v>122</v>
      </c>
      <c r="CN123" s="37" t="str">
        <f ca="1">IF($AN123&gt;CN$1,"",INDEX($AG$2:$AG$226,SMALL(CM$2:$CM$226,$AN123),1))</f>
        <v/>
      </c>
      <c r="CO123" s="36">
        <f t="shared" si="72"/>
        <v>122</v>
      </c>
      <c r="CP123" s="37" t="str">
        <f t="shared" ca="1" si="73"/>
        <v/>
      </c>
      <c r="CS123" s="28">
        <f t="shared" si="57"/>
        <v>122</v>
      </c>
      <c r="CT123" s="37" t="str">
        <f t="shared" ca="1" si="86"/>
        <v/>
      </c>
      <c r="CU123" s="28">
        <f t="shared" si="57"/>
        <v>122</v>
      </c>
      <c r="CV123" s="37" t="str">
        <f t="shared" ca="1" si="87"/>
        <v/>
      </c>
      <c r="CW123" s="28">
        <f t="shared" si="60"/>
        <v>122</v>
      </c>
      <c r="CX123" s="37" t="str">
        <f t="shared" ca="1" si="88"/>
        <v/>
      </c>
      <c r="CY123" s="28">
        <f t="shared" si="62"/>
        <v>122</v>
      </c>
      <c r="CZ123" s="37" t="str">
        <f t="shared" ca="1" si="88"/>
        <v/>
      </c>
      <c r="DA123" s="28">
        <f t="shared" si="63"/>
        <v>122</v>
      </c>
      <c r="DB123" s="37" t="str">
        <f t="shared" ca="1" si="89"/>
        <v/>
      </c>
      <c r="DC123" s="28">
        <f t="shared" si="65"/>
        <v>122</v>
      </c>
      <c r="DD123" s="37" t="str">
        <f t="shared" ca="1" si="90"/>
        <v/>
      </c>
      <c r="DN123" s="32">
        <v>122</v>
      </c>
      <c r="DO123" s="34" t="s">
        <v>661</v>
      </c>
      <c r="DP123" s="38">
        <f t="shared" si="100"/>
        <v>0</v>
      </c>
      <c r="DQ123" s="173" t="str">
        <f t="shared" si="74"/>
        <v>(Cunn) 0</v>
      </c>
      <c r="DR123" s="36" t="str">
        <f t="shared" si="75"/>
        <v/>
      </c>
      <c r="DV123" s="176">
        <f t="shared" si="67"/>
        <v>0</v>
      </c>
      <c r="DW123" s="243">
        <f>IF(COUNTIF('Char Sheet p1'!$AP$7:$AP$35,DQ123)=0,0,ROUNDDOWN(SUMIF('Char Sheet p1'!$AP$7:$AP$35,DQ123,'Char Sheet p1'!$AQ$7:$AQ$35)/10,0))</f>
        <v>0</v>
      </c>
      <c r="DX123" s="240">
        <f t="shared" si="77"/>
        <v>0</v>
      </c>
      <c r="DY123" s="36">
        <f t="shared" si="102"/>
        <v>18</v>
      </c>
      <c r="DZ123" s="36" t="str">
        <f t="shared" si="68"/>
        <v/>
      </c>
      <c r="EE123" s="36">
        <f t="shared" si="101"/>
        <v>2</v>
      </c>
    </row>
    <row r="124" spans="3:135">
      <c r="AG124" s="32" t="s">
        <v>142</v>
      </c>
      <c r="AH124" s="34" t="s">
        <v>773</v>
      </c>
      <c r="AI124" s="34"/>
      <c r="AJ124" s="31"/>
      <c r="AK124" s="31"/>
      <c r="AL124" s="31" t="str">
        <f t="shared" si="84"/>
        <v/>
      </c>
      <c r="AM124" s="31">
        <v>1</v>
      </c>
      <c r="AN124" s="31">
        <f t="shared" si="78"/>
        <v>123</v>
      </c>
      <c r="AO124" s="35" t="s">
        <v>123</v>
      </c>
      <c r="AP124" s="134"/>
      <c r="AQ124" s="47"/>
      <c r="AR124" s="134"/>
      <c r="AS124" s="47"/>
      <c r="AT124" s="134"/>
      <c r="AU124" s="47">
        <v>1</v>
      </c>
      <c r="AV124" s="134"/>
      <c r="AW124" s="47"/>
      <c r="AX124" s="134"/>
      <c r="AY124" s="47"/>
      <c r="AZ124" s="134"/>
      <c r="BA124" s="47"/>
      <c r="BB124" s="134"/>
      <c r="BC124" s="47"/>
      <c r="BD124" s="134"/>
      <c r="BE124" s="47"/>
      <c r="BF124" s="134"/>
      <c r="BG124" s="47"/>
      <c r="BH124" s="134"/>
      <c r="BI124" s="47"/>
      <c r="BJ124" s="134"/>
      <c r="BK124" s="47"/>
      <c r="BL124" s="134"/>
      <c r="BM124" s="47"/>
      <c r="BN124" s="134"/>
      <c r="BO124" s="47"/>
      <c r="BP124" s="134"/>
      <c r="BQ124" s="47"/>
      <c r="BR124" s="134"/>
      <c r="BS124" s="47"/>
      <c r="BT124" s="134"/>
      <c r="BU124" s="47"/>
      <c r="BV124" s="134"/>
      <c r="BW124" s="47"/>
      <c r="BX124" s="134"/>
      <c r="BY124" s="47"/>
      <c r="BZ124" s="134"/>
      <c r="CA124" s="47"/>
      <c r="CB124" s="120"/>
      <c r="CC124" s="120"/>
      <c r="CD124" s="120"/>
      <c r="CE124" s="120"/>
      <c r="CF124" s="120"/>
      <c r="CG124" s="120"/>
      <c r="CH124" s="120"/>
      <c r="CI124" s="120"/>
      <c r="CJ124" s="120"/>
      <c r="CK124" s="179">
        <f t="shared" si="55"/>
        <v>123</v>
      </c>
      <c r="CL124" s="37" t="str">
        <f t="shared" ca="1" si="85"/>
        <v/>
      </c>
      <c r="CM124" s="36">
        <f t="shared" si="71"/>
        <v>123</v>
      </c>
      <c r="CN124" s="37" t="str">
        <f ca="1">IF($AN124&gt;CN$1,"",INDEX($AG$2:$AG$226,SMALL(CM$2:$CM$226,$AN124),1))</f>
        <v/>
      </c>
      <c r="CO124" s="36">
        <f t="shared" si="72"/>
        <v>123</v>
      </c>
      <c r="CP124" s="37" t="str">
        <f t="shared" ca="1" si="73"/>
        <v/>
      </c>
      <c r="CS124" s="28">
        <f t="shared" si="57"/>
        <v>123</v>
      </c>
      <c r="CT124" s="37" t="str">
        <f t="shared" ca="1" si="86"/>
        <v/>
      </c>
      <c r="CU124" s="28">
        <f t="shared" si="57"/>
        <v>123</v>
      </c>
      <c r="CV124" s="37" t="str">
        <f t="shared" ca="1" si="87"/>
        <v/>
      </c>
      <c r="CW124" s="28">
        <f t="shared" si="60"/>
        <v>123</v>
      </c>
      <c r="CX124" s="37" t="str">
        <f t="shared" ca="1" si="88"/>
        <v/>
      </c>
      <c r="CY124" s="28">
        <f t="shared" si="62"/>
        <v>123</v>
      </c>
      <c r="CZ124" s="37" t="str">
        <f t="shared" ca="1" si="88"/>
        <v/>
      </c>
      <c r="DA124" s="28">
        <f t="shared" si="63"/>
        <v>123</v>
      </c>
      <c r="DB124" s="37" t="str">
        <f t="shared" ca="1" si="89"/>
        <v/>
      </c>
      <c r="DC124" s="28">
        <f t="shared" si="65"/>
        <v>123</v>
      </c>
      <c r="DD124" s="37" t="str">
        <f t="shared" ca="1" si="90"/>
        <v/>
      </c>
      <c r="DN124" s="32">
        <v>123</v>
      </c>
      <c r="DO124" s="34" t="s">
        <v>661</v>
      </c>
      <c r="DP124" s="38">
        <f t="shared" si="100"/>
        <v>0</v>
      </c>
      <c r="DQ124" s="173" t="str">
        <f t="shared" si="74"/>
        <v>(Cunn) 0</v>
      </c>
      <c r="DR124" s="36" t="str">
        <f t="shared" si="75"/>
        <v/>
      </c>
      <c r="DV124" s="176">
        <f t="shared" si="67"/>
        <v>0</v>
      </c>
      <c r="DW124" s="243">
        <f>IF(COUNTIF('Char Sheet p1'!$AP$7:$AP$35,DQ124)=0,0,ROUNDDOWN(SUMIF('Char Sheet p1'!$AP$7:$AP$35,DQ124,'Char Sheet p1'!$AQ$7:$AQ$35)/10,0))</f>
        <v>0</v>
      </c>
      <c r="DX124" s="240">
        <f t="shared" si="77"/>
        <v>0</v>
      </c>
      <c r="DY124" s="36">
        <f t="shared" si="102"/>
        <v>19</v>
      </c>
      <c r="DZ124" s="36" t="str">
        <f t="shared" si="68"/>
        <v/>
      </c>
      <c r="EE124" s="36">
        <f t="shared" si="101"/>
        <v>2</v>
      </c>
    </row>
    <row r="125" spans="3:135">
      <c r="AG125" s="32" t="s">
        <v>143</v>
      </c>
      <c r="AH125" s="34" t="s">
        <v>773</v>
      </c>
      <c r="AI125" s="34"/>
      <c r="AJ125" s="31"/>
      <c r="AK125" s="31"/>
      <c r="AL125" s="31" t="str">
        <f t="shared" si="84"/>
        <v/>
      </c>
      <c r="AM125" s="31">
        <v>1</v>
      </c>
      <c r="AN125" s="31">
        <f t="shared" si="78"/>
        <v>124</v>
      </c>
      <c r="AO125" s="35" t="s">
        <v>124</v>
      </c>
      <c r="AP125" s="134"/>
      <c r="AQ125" s="47"/>
      <c r="AR125" s="134"/>
      <c r="AS125" s="47"/>
      <c r="AT125" s="134"/>
      <c r="AU125" s="47"/>
      <c r="AV125" s="134"/>
      <c r="AW125" s="47">
        <v>1</v>
      </c>
      <c r="AX125" s="134"/>
      <c r="AY125" s="47"/>
      <c r="AZ125" s="134"/>
      <c r="BA125" s="47"/>
      <c r="BB125" s="134"/>
      <c r="BC125" s="47"/>
      <c r="BD125" s="134"/>
      <c r="BE125" s="47"/>
      <c r="BF125" s="134"/>
      <c r="BG125" s="47"/>
      <c r="BH125" s="134"/>
      <c r="BI125" s="47"/>
      <c r="BJ125" s="134"/>
      <c r="BK125" s="47"/>
      <c r="BL125" s="134"/>
      <c r="BM125" s="47"/>
      <c r="BN125" s="134"/>
      <c r="BO125" s="47"/>
      <c r="BP125" s="134"/>
      <c r="BQ125" s="47"/>
      <c r="BR125" s="134"/>
      <c r="BS125" s="47"/>
      <c r="BT125" s="134"/>
      <c r="BU125" s="47"/>
      <c r="BV125" s="134"/>
      <c r="BW125" s="47"/>
      <c r="BX125" s="134"/>
      <c r="BY125" s="47"/>
      <c r="BZ125" s="134"/>
      <c r="CA125" s="47"/>
      <c r="CB125" s="120"/>
      <c r="CC125" s="120"/>
      <c r="CD125" s="120"/>
      <c r="CE125" s="120"/>
      <c r="CF125" s="120"/>
      <c r="CG125" s="120"/>
      <c r="CH125" s="120"/>
      <c r="CI125" s="120"/>
      <c r="CJ125" s="120"/>
      <c r="CK125" s="179">
        <f t="shared" si="55"/>
        <v>124</v>
      </c>
      <c r="CL125" s="37" t="str">
        <f t="shared" ca="1" si="85"/>
        <v/>
      </c>
      <c r="CM125" s="36">
        <f t="shared" si="71"/>
        <v>124</v>
      </c>
      <c r="CN125" s="37" t="str">
        <f ca="1">IF($AN125&gt;CN$1,"",INDEX($AG$2:$AG$226,SMALL(CM$2:$CM$226,$AN125),1))</f>
        <v/>
      </c>
      <c r="CO125" s="36">
        <f t="shared" si="72"/>
        <v>124</v>
      </c>
      <c r="CP125" s="37" t="str">
        <f t="shared" ca="1" si="73"/>
        <v/>
      </c>
      <c r="CS125" s="28">
        <f t="shared" si="57"/>
        <v>124</v>
      </c>
      <c r="CT125" s="37" t="str">
        <f t="shared" ca="1" si="86"/>
        <v/>
      </c>
      <c r="CU125" s="28">
        <f t="shared" si="57"/>
        <v>124</v>
      </c>
      <c r="CV125" s="37" t="str">
        <f t="shared" ca="1" si="87"/>
        <v/>
      </c>
      <c r="CW125" s="28">
        <f t="shared" si="60"/>
        <v>124</v>
      </c>
      <c r="CX125" s="37" t="str">
        <f t="shared" ca="1" si="88"/>
        <v/>
      </c>
      <c r="CY125" s="28">
        <f t="shared" si="62"/>
        <v>124</v>
      </c>
      <c r="CZ125" s="37" t="str">
        <f t="shared" ca="1" si="88"/>
        <v/>
      </c>
      <c r="DA125" s="28">
        <f t="shared" si="63"/>
        <v>124</v>
      </c>
      <c r="DB125" s="37" t="str">
        <f t="shared" ca="1" si="89"/>
        <v/>
      </c>
      <c r="DC125" s="28">
        <f t="shared" si="65"/>
        <v>124</v>
      </c>
      <c r="DD125" s="37" t="str">
        <f t="shared" ca="1" si="90"/>
        <v/>
      </c>
      <c r="DN125" s="32">
        <v>124</v>
      </c>
      <c r="DO125" s="34" t="s">
        <v>661</v>
      </c>
      <c r="DP125" s="38">
        <f t="shared" si="100"/>
        <v>0</v>
      </c>
      <c r="DQ125" s="173" t="str">
        <f t="shared" si="74"/>
        <v>(Cunn) 0</v>
      </c>
      <c r="DR125" s="36" t="str">
        <f t="shared" si="75"/>
        <v/>
      </c>
      <c r="DV125" s="176">
        <f t="shared" si="67"/>
        <v>0</v>
      </c>
      <c r="DW125" s="243">
        <f>IF(COUNTIF('Char Sheet p1'!$AP$7:$AP$35,DQ125)=0,0,ROUNDDOWN(SUMIF('Char Sheet p1'!$AP$7:$AP$35,DQ125,'Char Sheet p1'!$AQ$7:$AQ$35)/10,0))</f>
        <v>0</v>
      </c>
      <c r="DX125" s="240">
        <f t="shared" si="77"/>
        <v>0</v>
      </c>
      <c r="DY125" s="36">
        <f t="shared" si="102"/>
        <v>20</v>
      </c>
      <c r="DZ125" s="36" t="str">
        <f t="shared" si="68"/>
        <v/>
      </c>
      <c r="EE125" s="36">
        <f t="shared" si="101"/>
        <v>2</v>
      </c>
    </row>
    <row r="126" spans="3:135">
      <c r="AG126" s="32" t="s">
        <v>144</v>
      </c>
      <c r="AH126" s="34" t="s">
        <v>773</v>
      </c>
      <c r="AI126" s="34"/>
      <c r="AJ126" s="31"/>
      <c r="AK126" s="31"/>
      <c r="AL126" s="31" t="str">
        <f t="shared" si="84"/>
        <v/>
      </c>
      <c r="AM126" s="31">
        <v>1</v>
      </c>
      <c r="AN126" s="31">
        <f t="shared" si="78"/>
        <v>125</v>
      </c>
      <c r="AO126" s="35" t="s">
        <v>125</v>
      </c>
      <c r="AP126" s="134"/>
      <c r="AQ126" s="47"/>
      <c r="AR126" s="134"/>
      <c r="AS126" s="47"/>
      <c r="AT126" s="134"/>
      <c r="AU126" s="47"/>
      <c r="AV126" s="134"/>
      <c r="AW126" s="47"/>
      <c r="AX126" s="134"/>
      <c r="AY126" s="47">
        <v>1</v>
      </c>
      <c r="AZ126" s="134"/>
      <c r="BA126" s="47"/>
      <c r="BB126" s="134"/>
      <c r="BC126" s="47"/>
      <c r="BD126" s="134"/>
      <c r="BE126" s="47"/>
      <c r="BF126" s="134"/>
      <c r="BG126" s="47"/>
      <c r="BH126" s="134"/>
      <c r="BI126" s="47"/>
      <c r="BJ126" s="134"/>
      <c r="BK126" s="47"/>
      <c r="BL126" s="134"/>
      <c r="BM126" s="47"/>
      <c r="BN126" s="134"/>
      <c r="BO126" s="47"/>
      <c r="BP126" s="134"/>
      <c r="BQ126" s="47"/>
      <c r="BR126" s="134"/>
      <c r="BS126" s="47"/>
      <c r="BT126" s="134"/>
      <c r="BU126" s="47"/>
      <c r="BV126" s="134"/>
      <c r="BW126" s="47"/>
      <c r="BX126" s="134"/>
      <c r="BY126" s="47"/>
      <c r="BZ126" s="134"/>
      <c r="CA126" s="47"/>
      <c r="CB126" s="120"/>
      <c r="CC126" s="120"/>
      <c r="CD126" s="120"/>
      <c r="CE126" s="120"/>
      <c r="CF126" s="120"/>
      <c r="CG126" s="120"/>
      <c r="CH126" s="120"/>
      <c r="CI126" s="120"/>
      <c r="CJ126" s="120"/>
      <c r="CK126" s="179">
        <f t="shared" si="55"/>
        <v>125</v>
      </c>
      <c r="CL126" s="37" t="str">
        <f t="shared" ca="1" si="85"/>
        <v/>
      </c>
      <c r="CM126" s="36">
        <f t="shared" si="71"/>
        <v>125</v>
      </c>
      <c r="CN126" s="37" t="str">
        <f ca="1">IF($AN126&gt;CN$1,"",INDEX($AG$2:$AG$226,SMALL(CM$2:$CM$226,$AN126),1))</f>
        <v/>
      </c>
      <c r="CO126" s="36">
        <f t="shared" si="72"/>
        <v>125</v>
      </c>
      <c r="CP126" s="37" t="str">
        <f t="shared" ca="1" si="73"/>
        <v/>
      </c>
      <c r="CS126" s="28">
        <f t="shared" si="57"/>
        <v>125</v>
      </c>
      <c r="CT126" s="37" t="str">
        <f t="shared" ca="1" si="86"/>
        <v/>
      </c>
      <c r="CU126" s="28">
        <f t="shared" si="57"/>
        <v>125</v>
      </c>
      <c r="CV126" s="37" t="str">
        <f t="shared" ca="1" si="87"/>
        <v/>
      </c>
      <c r="CW126" s="28">
        <f t="shared" si="60"/>
        <v>125</v>
      </c>
      <c r="CX126" s="37" t="str">
        <f t="shared" ca="1" si="88"/>
        <v/>
      </c>
      <c r="CY126" s="28">
        <f t="shared" si="62"/>
        <v>125</v>
      </c>
      <c r="CZ126" s="37" t="str">
        <f t="shared" ca="1" si="88"/>
        <v/>
      </c>
      <c r="DA126" s="28">
        <f t="shared" si="63"/>
        <v>125</v>
      </c>
      <c r="DB126" s="37" t="str">
        <f t="shared" ca="1" si="89"/>
        <v/>
      </c>
      <c r="DC126" s="28">
        <f t="shared" si="65"/>
        <v>125</v>
      </c>
      <c r="DD126" s="37" t="str">
        <f t="shared" ca="1" si="90"/>
        <v/>
      </c>
      <c r="DN126" s="32">
        <v>125</v>
      </c>
      <c r="DO126" s="34" t="s">
        <v>661</v>
      </c>
      <c r="DP126" s="38">
        <f t="shared" si="100"/>
        <v>0</v>
      </c>
      <c r="DQ126" s="173" t="str">
        <f t="shared" si="74"/>
        <v>(Cunn) 0</v>
      </c>
      <c r="DR126" s="36" t="str">
        <f t="shared" si="75"/>
        <v/>
      </c>
      <c r="DV126" s="176">
        <f t="shared" si="67"/>
        <v>0</v>
      </c>
      <c r="DW126" s="243">
        <f>IF(COUNTIF('Char Sheet p1'!$AP$7:$AP$35,DQ126)=0,0,ROUNDDOWN(SUMIF('Char Sheet p1'!$AP$7:$AP$35,DQ126,'Char Sheet p1'!$AQ$7:$AQ$35)/10,0))</f>
        <v>0</v>
      </c>
      <c r="DX126" s="240">
        <f t="shared" si="77"/>
        <v>0</v>
      </c>
      <c r="DY126" s="36">
        <f t="shared" si="102"/>
        <v>21</v>
      </c>
      <c r="DZ126" s="36" t="str">
        <f t="shared" si="68"/>
        <v/>
      </c>
      <c r="EE126" s="36">
        <f t="shared" si="101"/>
        <v>2</v>
      </c>
    </row>
    <row r="127" spans="3:135">
      <c r="AG127" s="32" t="s">
        <v>145</v>
      </c>
      <c r="AH127" s="34" t="s">
        <v>773</v>
      </c>
      <c r="AI127" s="34"/>
      <c r="AJ127" s="31"/>
      <c r="AK127" s="31"/>
      <c r="AL127" s="31" t="str">
        <f t="shared" si="84"/>
        <v/>
      </c>
      <c r="AM127" s="31">
        <v>1</v>
      </c>
      <c r="AN127" s="31">
        <f t="shared" si="78"/>
        <v>126</v>
      </c>
      <c r="AO127" s="35" t="s">
        <v>126</v>
      </c>
      <c r="AP127" s="134"/>
      <c r="AQ127" s="47"/>
      <c r="AR127" s="134"/>
      <c r="AS127" s="47"/>
      <c r="AT127" s="134"/>
      <c r="AU127" s="47"/>
      <c r="AV127" s="134"/>
      <c r="AW127" s="47"/>
      <c r="AX127" s="134"/>
      <c r="AY127" s="47"/>
      <c r="AZ127" s="134"/>
      <c r="BA127" s="47">
        <v>1</v>
      </c>
      <c r="BB127" s="134"/>
      <c r="BC127" s="47"/>
      <c r="BD127" s="134"/>
      <c r="BE127" s="47"/>
      <c r="BF127" s="134"/>
      <c r="BG127" s="47"/>
      <c r="BH127" s="134"/>
      <c r="BI127" s="47"/>
      <c r="BJ127" s="134"/>
      <c r="BK127" s="47"/>
      <c r="BL127" s="134"/>
      <c r="BM127" s="47"/>
      <c r="BN127" s="134"/>
      <c r="BO127" s="47"/>
      <c r="BP127" s="134"/>
      <c r="BQ127" s="47"/>
      <c r="BR127" s="134"/>
      <c r="BS127" s="47"/>
      <c r="BT127" s="134"/>
      <c r="BU127" s="47"/>
      <c r="BV127" s="134"/>
      <c r="BW127" s="47"/>
      <c r="BX127" s="134"/>
      <c r="BY127" s="47"/>
      <c r="BZ127" s="134"/>
      <c r="CA127" s="47"/>
      <c r="CB127" s="120"/>
      <c r="CC127" s="120"/>
      <c r="CD127" s="120"/>
      <c r="CE127" s="120"/>
      <c r="CF127" s="120"/>
      <c r="CG127" s="120"/>
      <c r="CH127" s="120"/>
      <c r="CI127" s="120"/>
      <c r="CJ127" s="120"/>
      <c r="CK127" s="179">
        <f t="shared" si="55"/>
        <v>126</v>
      </c>
      <c r="CL127" s="37" t="str">
        <f t="shared" ca="1" si="85"/>
        <v/>
      </c>
      <c r="CM127" s="36">
        <f t="shared" si="71"/>
        <v>126</v>
      </c>
      <c r="CN127" s="37" t="str">
        <f ca="1">IF($AN127&gt;CN$1,"",INDEX($AG$2:$AG$226,SMALL(CM$2:$CM$226,$AN127),1))</f>
        <v/>
      </c>
      <c r="CO127" s="36">
        <f t="shared" si="72"/>
        <v>126</v>
      </c>
      <c r="CP127" s="37" t="str">
        <f t="shared" ca="1" si="73"/>
        <v/>
      </c>
      <c r="CS127" s="28">
        <f t="shared" si="57"/>
        <v>126</v>
      </c>
      <c r="CT127" s="37" t="str">
        <f t="shared" ca="1" si="86"/>
        <v/>
      </c>
      <c r="CU127" s="28">
        <f t="shared" si="57"/>
        <v>126</v>
      </c>
      <c r="CV127" s="37" t="str">
        <f t="shared" ca="1" si="87"/>
        <v/>
      </c>
      <c r="CW127" s="28">
        <f t="shared" si="60"/>
        <v>126</v>
      </c>
      <c r="CX127" s="37" t="str">
        <f t="shared" ca="1" si="88"/>
        <v/>
      </c>
      <c r="CY127" s="28">
        <f t="shared" si="62"/>
        <v>126</v>
      </c>
      <c r="CZ127" s="37" t="str">
        <f t="shared" ca="1" si="88"/>
        <v/>
      </c>
      <c r="DA127" s="28">
        <f t="shared" si="63"/>
        <v>126</v>
      </c>
      <c r="DB127" s="37" t="str">
        <f t="shared" ca="1" si="89"/>
        <v/>
      </c>
      <c r="DC127" s="28">
        <f t="shared" si="65"/>
        <v>126</v>
      </c>
      <c r="DD127" s="37" t="str">
        <f t="shared" ca="1" si="90"/>
        <v/>
      </c>
      <c r="DN127" s="32">
        <v>126</v>
      </c>
      <c r="DO127" s="34" t="s">
        <v>661</v>
      </c>
      <c r="DP127" s="38">
        <f t="shared" si="100"/>
        <v>0</v>
      </c>
      <c r="DQ127" s="173" t="str">
        <f t="shared" si="74"/>
        <v>(Cunn) 0</v>
      </c>
      <c r="DR127" s="36" t="str">
        <f t="shared" si="75"/>
        <v/>
      </c>
      <c r="DV127" s="176">
        <f t="shared" si="67"/>
        <v>0</v>
      </c>
      <c r="DW127" s="243">
        <f>IF(COUNTIF('Char Sheet p1'!$AP$7:$AP$35,DQ127)=0,0,ROUNDDOWN(SUMIF('Char Sheet p1'!$AP$7:$AP$35,DQ127,'Char Sheet p1'!$AQ$7:$AQ$35)/10,0))</f>
        <v>0</v>
      </c>
      <c r="DX127" s="240">
        <f t="shared" si="77"/>
        <v>0</v>
      </c>
      <c r="DY127" s="36">
        <f t="shared" si="102"/>
        <v>22</v>
      </c>
      <c r="DZ127" s="36" t="str">
        <f t="shared" si="68"/>
        <v/>
      </c>
      <c r="EE127" s="36">
        <f t="shared" si="101"/>
        <v>2</v>
      </c>
    </row>
    <row r="128" spans="3:135">
      <c r="AG128" s="32" t="s">
        <v>146</v>
      </c>
      <c r="AH128" s="34" t="s">
        <v>773</v>
      </c>
      <c r="AI128" s="34"/>
      <c r="AJ128" s="31"/>
      <c r="AK128" s="31"/>
      <c r="AL128" s="31" t="str">
        <f t="shared" si="84"/>
        <v/>
      </c>
      <c r="AM128" s="31">
        <v>1</v>
      </c>
      <c r="AN128" s="31">
        <f t="shared" si="78"/>
        <v>127</v>
      </c>
      <c r="AO128" s="35" t="s">
        <v>127</v>
      </c>
      <c r="AP128" s="134"/>
      <c r="AQ128" s="47"/>
      <c r="AR128" s="134"/>
      <c r="AS128" s="47"/>
      <c r="AT128" s="134"/>
      <c r="AU128" s="47"/>
      <c r="AV128" s="134"/>
      <c r="AW128" s="47"/>
      <c r="AX128" s="134"/>
      <c r="AY128" s="47"/>
      <c r="AZ128" s="134"/>
      <c r="BA128" s="47"/>
      <c r="BB128" s="134"/>
      <c r="BC128" s="47">
        <v>1</v>
      </c>
      <c r="BD128" s="134"/>
      <c r="BE128" s="47"/>
      <c r="BF128" s="134"/>
      <c r="BG128" s="47"/>
      <c r="BH128" s="134"/>
      <c r="BI128" s="47"/>
      <c r="BJ128" s="134"/>
      <c r="BK128" s="47"/>
      <c r="BL128" s="134"/>
      <c r="BM128" s="47"/>
      <c r="BN128" s="134"/>
      <c r="BO128" s="47"/>
      <c r="BP128" s="134"/>
      <c r="BQ128" s="47"/>
      <c r="BR128" s="134"/>
      <c r="BS128" s="47"/>
      <c r="BT128" s="134"/>
      <c r="BU128" s="47"/>
      <c r="BV128" s="134"/>
      <c r="BW128" s="47"/>
      <c r="BX128" s="134"/>
      <c r="BY128" s="47"/>
      <c r="BZ128" s="134"/>
      <c r="CA128" s="47"/>
      <c r="CB128" s="120"/>
      <c r="CC128" s="120"/>
      <c r="CD128" s="120"/>
      <c r="CE128" s="120"/>
      <c r="CF128" s="120"/>
      <c r="CG128" s="120"/>
      <c r="CH128" s="120"/>
      <c r="CI128" s="120"/>
      <c r="CJ128" s="120"/>
      <c r="CK128" s="179">
        <f t="shared" si="55"/>
        <v>127</v>
      </c>
      <c r="CL128" s="37" t="str">
        <f t="shared" ca="1" si="85"/>
        <v/>
      </c>
      <c r="CM128" s="36">
        <f t="shared" si="71"/>
        <v>127</v>
      </c>
      <c r="CN128" s="37" t="str">
        <f ca="1">IF($AN128&gt;CN$1,"",INDEX($AG$2:$AG$226,SMALL(CM$2:$CM$226,$AN128),1))</f>
        <v/>
      </c>
      <c r="CO128" s="36">
        <f t="shared" si="72"/>
        <v>127</v>
      </c>
      <c r="CP128" s="37" t="str">
        <f t="shared" ca="1" si="73"/>
        <v/>
      </c>
      <c r="CS128" s="28">
        <f t="shared" si="57"/>
        <v>127</v>
      </c>
      <c r="CT128" s="37" t="str">
        <f t="shared" ca="1" si="86"/>
        <v/>
      </c>
      <c r="CU128" s="28">
        <f t="shared" si="57"/>
        <v>127</v>
      </c>
      <c r="CV128" s="37" t="str">
        <f t="shared" ca="1" si="87"/>
        <v/>
      </c>
      <c r="CW128" s="28">
        <f t="shared" si="60"/>
        <v>127</v>
      </c>
      <c r="CX128" s="37" t="str">
        <f t="shared" ca="1" si="88"/>
        <v/>
      </c>
      <c r="CY128" s="28">
        <f t="shared" si="62"/>
        <v>127</v>
      </c>
      <c r="CZ128" s="37" t="str">
        <f t="shared" ca="1" si="88"/>
        <v/>
      </c>
      <c r="DA128" s="28">
        <f t="shared" si="63"/>
        <v>127</v>
      </c>
      <c r="DB128" s="37" t="str">
        <f t="shared" ca="1" si="89"/>
        <v/>
      </c>
      <c r="DC128" s="28">
        <f t="shared" si="65"/>
        <v>127</v>
      </c>
      <c r="DD128" s="37" t="str">
        <f t="shared" ca="1" si="90"/>
        <v/>
      </c>
      <c r="DN128" s="32">
        <v>127</v>
      </c>
      <c r="DO128" s="34" t="s">
        <v>661</v>
      </c>
      <c r="DP128" s="38">
        <f t="shared" si="100"/>
        <v>0</v>
      </c>
      <c r="DQ128" s="173" t="str">
        <f t="shared" si="74"/>
        <v>(Cunn) 0</v>
      </c>
      <c r="DR128" s="36" t="str">
        <f t="shared" si="75"/>
        <v/>
      </c>
      <c r="DV128" s="176">
        <f t="shared" si="67"/>
        <v>0</v>
      </c>
      <c r="DW128" s="243">
        <f>IF(COUNTIF('Char Sheet p1'!$AP$7:$AP$35,DQ128)=0,0,ROUNDDOWN(SUMIF('Char Sheet p1'!$AP$7:$AP$35,DQ128,'Char Sheet p1'!$AQ$7:$AQ$35)/10,0))</f>
        <v>0</v>
      </c>
      <c r="DX128" s="240">
        <f t="shared" si="77"/>
        <v>0</v>
      </c>
      <c r="DY128" s="36">
        <f t="shared" si="102"/>
        <v>23</v>
      </c>
      <c r="DZ128" s="36" t="str">
        <f t="shared" si="68"/>
        <v/>
      </c>
      <c r="EE128" s="36">
        <f t="shared" si="101"/>
        <v>2</v>
      </c>
    </row>
    <row r="129" spans="33:135">
      <c r="AG129" s="32" t="s">
        <v>147</v>
      </c>
      <c r="AH129" s="34" t="s">
        <v>773</v>
      </c>
      <c r="AI129" s="34"/>
      <c r="AJ129" s="31"/>
      <c r="AK129" s="31"/>
      <c r="AL129" s="31" t="str">
        <f t="shared" si="84"/>
        <v/>
      </c>
      <c r="AM129" s="31">
        <v>1</v>
      </c>
      <c r="AN129" s="31">
        <f t="shared" si="78"/>
        <v>128</v>
      </c>
      <c r="AO129" s="35" t="s">
        <v>128</v>
      </c>
      <c r="AP129" s="134"/>
      <c r="AQ129" s="47"/>
      <c r="AR129" s="134"/>
      <c r="AS129" s="47"/>
      <c r="AT129" s="134"/>
      <c r="AU129" s="47"/>
      <c r="AV129" s="134"/>
      <c r="AW129" s="47"/>
      <c r="AX129" s="134"/>
      <c r="AY129" s="47"/>
      <c r="AZ129" s="134"/>
      <c r="BA129" s="47"/>
      <c r="BB129" s="134"/>
      <c r="BC129" s="47"/>
      <c r="BD129" s="134"/>
      <c r="BE129" s="47">
        <v>1</v>
      </c>
      <c r="BF129" s="134"/>
      <c r="BG129" s="47"/>
      <c r="BH129" s="134"/>
      <c r="BI129" s="47"/>
      <c r="BJ129" s="134"/>
      <c r="BK129" s="47"/>
      <c r="BL129" s="134"/>
      <c r="BM129" s="47"/>
      <c r="BN129" s="134"/>
      <c r="BO129" s="47"/>
      <c r="BP129" s="134"/>
      <c r="BQ129" s="47"/>
      <c r="BR129" s="134"/>
      <c r="BS129" s="47"/>
      <c r="BT129" s="134"/>
      <c r="BU129" s="47"/>
      <c r="BV129" s="134"/>
      <c r="BW129" s="47"/>
      <c r="BX129" s="134"/>
      <c r="BY129" s="47"/>
      <c r="BZ129" s="134"/>
      <c r="CA129" s="47"/>
      <c r="CB129" s="120"/>
      <c r="CC129" s="120"/>
      <c r="CD129" s="120"/>
      <c r="CE129" s="120"/>
      <c r="CF129" s="120"/>
      <c r="CG129" s="120"/>
      <c r="CH129" s="120"/>
      <c r="CI129" s="120"/>
      <c r="CJ129" s="120"/>
      <c r="CK129" s="179">
        <f t="shared" si="55"/>
        <v>128</v>
      </c>
      <c r="CL129" s="37" t="str">
        <f t="shared" ca="1" si="85"/>
        <v/>
      </c>
      <c r="CM129" s="36">
        <f t="shared" si="71"/>
        <v>128</v>
      </c>
      <c r="CN129" s="37" t="str">
        <f ca="1">IF($AN129&gt;CN$1,"",INDEX($AG$2:$AG$226,SMALL(CM$2:$CM$226,$AN129),1))</f>
        <v/>
      </c>
      <c r="CO129" s="36">
        <f t="shared" si="72"/>
        <v>128</v>
      </c>
      <c r="CP129" s="37" t="str">
        <f t="shared" ca="1" si="73"/>
        <v/>
      </c>
      <c r="CS129" s="28">
        <f t="shared" si="57"/>
        <v>128</v>
      </c>
      <c r="CT129" s="37" t="str">
        <f t="shared" ca="1" si="86"/>
        <v/>
      </c>
      <c r="CU129" s="28">
        <f t="shared" si="57"/>
        <v>128</v>
      </c>
      <c r="CV129" s="37" t="str">
        <f t="shared" ca="1" si="87"/>
        <v/>
      </c>
      <c r="CW129" s="28">
        <f t="shared" si="60"/>
        <v>128</v>
      </c>
      <c r="CX129" s="37" t="str">
        <f t="shared" ca="1" si="88"/>
        <v/>
      </c>
      <c r="CY129" s="28">
        <f t="shared" si="62"/>
        <v>128</v>
      </c>
      <c r="CZ129" s="37" t="str">
        <f t="shared" ca="1" si="88"/>
        <v/>
      </c>
      <c r="DA129" s="28">
        <f t="shared" si="63"/>
        <v>128</v>
      </c>
      <c r="DB129" s="37" t="str">
        <f t="shared" ca="1" si="89"/>
        <v/>
      </c>
      <c r="DC129" s="28">
        <f t="shared" si="65"/>
        <v>128</v>
      </c>
      <c r="DD129" s="37" t="str">
        <f t="shared" ca="1" si="90"/>
        <v/>
      </c>
      <c r="DN129" s="32">
        <v>128</v>
      </c>
      <c r="DO129" s="34" t="s">
        <v>661</v>
      </c>
      <c r="DP129" s="38">
        <f t="shared" si="100"/>
        <v>0</v>
      </c>
      <c r="DQ129" s="173" t="str">
        <f t="shared" si="74"/>
        <v>(Cunn) 0</v>
      </c>
      <c r="DR129" s="36" t="str">
        <f t="shared" si="75"/>
        <v/>
      </c>
      <c r="DV129" s="176">
        <f t="shared" si="67"/>
        <v>0</v>
      </c>
      <c r="DW129" s="243">
        <f>IF(COUNTIF('Char Sheet p1'!$AP$7:$AP$35,DQ129)=0,0,ROUNDDOWN(SUMIF('Char Sheet p1'!$AP$7:$AP$35,DQ129,'Char Sheet p1'!$AQ$7:$AQ$35)/10,0))</f>
        <v>0</v>
      </c>
      <c r="DX129" s="240">
        <f t="shared" si="77"/>
        <v>0</v>
      </c>
      <c r="DY129" s="36">
        <f t="shared" si="102"/>
        <v>24</v>
      </c>
      <c r="DZ129" s="36" t="str">
        <f t="shared" si="68"/>
        <v/>
      </c>
      <c r="EE129" s="36">
        <f t="shared" si="101"/>
        <v>2</v>
      </c>
    </row>
    <row r="130" spans="33:135">
      <c r="AG130" s="32" t="s">
        <v>148</v>
      </c>
      <c r="AH130" s="34" t="s">
        <v>773</v>
      </c>
      <c r="AI130" s="34"/>
      <c r="AJ130" s="31"/>
      <c r="AK130" s="31"/>
      <c r="AL130" s="31" t="str">
        <f t="shared" ref="AL130:AL156" si="103">IF(AH130="Heritage",COUNTIF(qualities,AG130),"")</f>
        <v/>
      </c>
      <c r="AM130" s="31">
        <v>1</v>
      </c>
      <c r="AN130" s="31">
        <f t="shared" si="78"/>
        <v>129</v>
      </c>
      <c r="AO130" s="35" t="s">
        <v>129</v>
      </c>
      <c r="AP130" s="134"/>
      <c r="AQ130" s="47"/>
      <c r="AR130" s="134"/>
      <c r="AS130" s="47"/>
      <c r="AT130" s="134"/>
      <c r="AU130" s="47"/>
      <c r="AV130" s="134"/>
      <c r="AW130" s="47"/>
      <c r="AX130" s="134"/>
      <c r="AY130" s="47"/>
      <c r="AZ130" s="134"/>
      <c r="BA130" s="47"/>
      <c r="BB130" s="134"/>
      <c r="BC130" s="47"/>
      <c r="BD130" s="134"/>
      <c r="BE130" s="47"/>
      <c r="BF130" s="134"/>
      <c r="BG130" s="47">
        <v>1</v>
      </c>
      <c r="BH130" s="134"/>
      <c r="BI130" s="47"/>
      <c r="BJ130" s="134"/>
      <c r="BK130" s="47"/>
      <c r="BL130" s="134"/>
      <c r="BM130" s="47"/>
      <c r="BN130" s="134"/>
      <c r="BO130" s="47"/>
      <c r="BP130" s="134"/>
      <c r="BQ130" s="47"/>
      <c r="BR130" s="134"/>
      <c r="BS130" s="47"/>
      <c r="BT130" s="134"/>
      <c r="BU130" s="47"/>
      <c r="BV130" s="134"/>
      <c r="BW130" s="47"/>
      <c r="BX130" s="134"/>
      <c r="BY130" s="47"/>
      <c r="BZ130" s="134"/>
      <c r="CA130" s="47"/>
      <c r="CB130" s="120"/>
      <c r="CC130" s="120"/>
      <c r="CD130" s="120"/>
      <c r="CE130" s="120"/>
      <c r="CF130" s="120"/>
      <c r="CG130" s="120"/>
      <c r="CH130" s="120"/>
      <c r="CI130" s="120"/>
      <c r="CJ130" s="120"/>
      <c r="CK130" s="179">
        <f t="shared" ref="CK130:CK147" si="104">IF(OR(AM130=0,AND(COUNTIF($CL$148:$CL$153,AG130)&gt;0,AJ130&lt;&gt;"y")),"",AN130)</f>
        <v>129</v>
      </c>
      <c r="CL130" s="37" t="str">
        <f t="shared" ref="CL130:CL146" ca="1" si="105">IF(AN130&gt;$CL$1,"",INDEX($AG$2:$AG$226,SMALL($CK$2:$CK$226,AN130),1))</f>
        <v/>
      </c>
      <c r="CM130" s="36">
        <f t="shared" si="71"/>
        <v>129</v>
      </c>
      <c r="CN130" s="37" t="str">
        <f ca="1">IF($AN130&gt;CN$1,"",INDEX($AG$2:$AG$226,SMALL(CM$2:$CM$226,$AN130),1))</f>
        <v/>
      </c>
      <c r="CO130" s="36">
        <f t="shared" si="72"/>
        <v>129</v>
      </c>
      <c r="CP130" s="37" t="str">
        <f t="shared" ca="1" si="73"/>
        <v/>
      </c>
      <c r="CS130" s="28">
        <f t="shared" ref="CS130:CS148" si="106">IF(OR($AM130=0,AND(COUNTIF(CT$148:CT$156,$AG130)&gt;0,$AJ130&lt;&gt;"y")),"",$AN130)</f>
        <v>129</v>
      </c>
      <c r="CT130" s="37" t="str">
        <f t="shared" ref="CT130:CT146" ca="1" si="107">IF($AN130&gt;CT$1,"",INDEX($AG$2:$AG$226,SMALL(CS$2:CS$226,$AN130),1))</f>
        <v/>
      </c>
      <c r="CU130" s="28">
        <f t="shared" ref="CU130:CU148" si="108">IF(OR($AM130=0,AND(COUNTIF(CV$148:CV$156,$AG130)&gt;0,$AJ130&lt;&gt;"y")),"",$AN130)</f>
        <v>129</v>
      </c>
      <c r="CV130" s="37" t="str">
        <f t="shared" ref="CV130:CV146" ca="1" si="109">IF($AN130&gt;CV$1,"",INDEX($AG$2:$AG$226,SMALL(CU$2:CU$226,$AN130),1))</f>
        <v/>
      </c>
      <c r="CW130" s="28">
        <f t="shared" ref="CW130:CW193" si="110">IF(OR($AM130=0,AND(COUNTIF(CX$148:CX$156,$AG130)&gt;0,$AJ130&lt;&gt;"y")),"",$AN130)</f>
        <v>129</v>
      </c>
      <c r="CX130" s="37" t="str">
        <f t="shared" ref="CX130:CZ146" ca="1" si="111">IF($AN130&gt;CX$1,"",INDEX($AG$2:$AG$226,SMALL(CW$2:CW$226,$AN130),1))</f>
        <v/>
      </c>
      <c r="CY130" s="28">
        <f t="shared" ref="CY130:CY193" si="112">IF(OR($AM130=0,AND(COUNTIF(CZ$148:CZ$156,$AG130)&gt;0,$AJ130&lt;&gt;"y")),"",$AN130)</f>
        <v>129</v>
      </c>
      <c r="CZ130" s="37" t="str">
        <f t="shared" ca="1" si="111"/>
        <v/>
      </c>
      <c r="DA130" s="28">
        <f t="shared" ref="DA130:DA193" si="113">IF(OR($AM130=0,AND(COUNTIF(DB$148:DB$156,$AG130)&gt;0,$AJ130&lt;&gt;"y")),"",$AN130)</f>
        <v>129</v>
      </c>
      <c r="DB130" s="37" t="str">
        <f t="shared" ref="DB130:DB146" ca="1" si="114">IF($AN130&gt;DB$1,"",INDEX($AG$2:$AG$226,SMALL(DA$2:DA$226,$AN130),1))</f>
        <v/>
      </c>
      <c r="DC130" s="28">
        <f t="shared" ref="DC130:DC193" si="115">IF(OR($AM130=0,AND(COUNTIF(DD$148:DD$156,$AG130)&gt;0,$AJ130&lt;&gt;"y")),"",$AN130)</f>
        <v>129</v>
      </c>
      <c r="DD130" s="37" t="str">
        <f t="shared" ref="DD130:DD146" ca="1" si="116">IF($AN130&gt;DD$1,"",INDEX($AG$2:$AG$226,SMALL(DC$2:DC$226,$AN130),1))</f>
        <v/>
      </c>
      <c r="DN130" s="32">
        <v>129</v>
      </c>
      <c r="DO130" s="34" t="s">
        <v>661</v>
      </c>
      <c r="DP130" s="38">
        <f t="shared" si="100"/>
        <v>0</v>
      </c>
      <c r="DQ130" s="173" t="str">
        <f t="shared" si="74"/>
        <v>(Cunn) 0</v>
      </c>
      <c r="DR130" s="36" t="str">
        <f t="shared" si="75"/>
        <v/>
      </c>
      <c r="DV130" s="176">
        <f t="shared" ref="DV130:DV193" si="117">IF(DP130=0,0,SUMIF($DT$2:$DT$58,DP130,$DU$2:$DU$58))</f>
        <v>0</v>
      </c>
      <c r="DW130" s="243">
        <f>IF(COUNTIF('Char Sheet p1'!$AP$7:$AP$35,DQ130)=0,0,ROUNDDOWN(SUMIF('Char Sheet p1'!$AP$7:$AP$35,DQ130,'Char Sheet p1'!$AQ$7:$AQ$35)/10,0))</f>
        <v>0</v>
      </c>
      <c r="DX130" s="240">
        <f t="shared" si="77"/>
        <v>0</v>
      </c>
      <c r="DY130" s="36">
        <f t="shared" si="102"/>
        <v>25</v>
      </c>
      <c r="DZ130" s="36" t="str">
        <f t="shared" ref="DZ130:DZ193" si="118">IF(DX130=0,"",IF(endchargen=0,"",DY130))</f>
        <v/>
      </c>
      <c r="EE130" s="36">
        <f t="shared" si="101"/>
        <v>2</v>
      </c>
    </row>
    <row r="131" spans="33:135">
      <c r="AG131" s="32" t="s">
        <v>149</v>
      </c>
      <c r="AH131" s="34" t="s">
        <v>773</v>
      </c>
      <c r="AI131" s="34"/>
      <c r="AJ131" s="31"/>
      <c r="AK131" s="31"/>
      <c r="AL131" s="31" t="str">
        <f t="shared" si="103"/>
        <v/>
      </c>
      <c r="AM131" s="31">
        <v>1</v>
      </c>
      <c r="AN131" s="31">
        <f t="shared" si="78"/>
        <v>130</v>
      </c>
      <c r="AO131" s="35" t="s">
        <v>130</v>
      </c>
      <c r="AP131" s="134"/>
      <c r="AQ131" s="47"/>
      <c r="AR131" s="134"/>
      <c r="AS131" s="47"/>
      <c r="AT131" s="134"/>
      <c r="AU131" s="47"/>
      <c r="AV131" s="134"/>
      <c r="AW131" s="47"/>
      <c r="AX131" s="134"/>
      <c r="AY131" s="47"/>
      <c r="AZ131" s="134"/>
      <c r="BA131" s="47"/>
      <c r="BB131" s="134"/>
      <c r="BC131" s="47"/>
      <c r="BD131" s="134"/>
      <c r="BE131" s="47"/>
      <c r="BF131" s="134"/>
      <c r="BG131" s="47"/>
      <c r="BH131" s="134"/>
      <c r="BI131" s="47">
        <v>1</v>
      </c>
      <c r="BJ131" s="134"/>
      <c r="BK131" s="47"/>
      <c r="BL131" s="134"/>
      <c r="BM131" s="47"/>
      <c r="BN131" s="134"/>
      <c r="BO131" s="47"/>
      <c r="BP131" s="134"/>
      <c r="BQ131" s="47"/>
      <c r="BR131" s="134"/>
      <c r="BS131" s="47"/>
      <c r="BT131" s="134"/>
      <c r="BU131" s="47"/>
      <c r="BV131" s="134"/>
      <c r="BW131" s="47"/>
      <c r="BX131" s="134"/>
      <c r="BY131" s="47"/>
      <c r="BZ131" s="134"/>
      <c r="CA131" s="47"/>
      <c r="CB131" s="120"/>
      <c r="CC131" s="120"/>
      <c r="CD131" s="120"/>
      <c r="CE131" s="120"/>
      <c r="CF131" s="120"/>
      <c r="CG131" s="120"/>
      <c r="CH131" s="120"/>
      <c r="CI131" s="120"/>
      <c r="CJ131" s="120"/>
      <c r="CK131" s="179">
        <f t="shared" si="104"/>
        <v>130</v>
      </c>
      <c r="CL131" s="37" t="str">
        <f t="shared" ca="1" si="105"/>
        <v/>
      </c>
      <c r="CM131" s="36">
        <f t="shared" ref="CM131:CM194" si="119">IF(OR($AM131=0,AND(COUNTIF(CN$148:CN$153,$AG131)&gt;0,$AJ131&lt;&gt;"y")),"",$AN131)</f>
        <v>130</v>
      </c>
      <c r="CN131" s="37" t="str">
        <f ca="1">IF($AN131&gt;CN$1,"",INDEX($AG$2:$AG$226,SMALL(CM$2:$CM$226,$AN131),1))</f>
        <v/>
      </c>
      <c r="CO131" s="36">
        <f t="shared" ref="CO131:CO194" si="120">IF(OR($AM131=0,AND(COUNTIF(CP$148:CP$153,$AG131)&gt;0,$AJ131&lt;&gt;"y")),"",$AN131)</f>
        <v>130</v>
      </c>
      <c r="CP131" s="37" t="str">
        <f t="shared" ref="CP131:CP146" ca="1" si="121">IF($AN131&gt;CP$1,"",INDEX($AG$2:$AG$226,SMALL(CO$2:CO$226,$AN131),1))</f>
        <v/>
      </c>
      <c r="CS131" s="28">
        <f t="shared" si="106"/>
        <v>130</v>
      </c>
      <c r="CT131" s="37" t="str">
        <f t="shared" ca="1" si="107"/>
        <v/>
      </c>
      <c r="CU131" s="28">
        <f t="shared" si="108"/>
        <v>130</v>
      </c>
      <c r="CV131" s="37" t="str">
        <f t="shared" ca="1" si="109"/>
        <v/>
      </c>
      <c r="CW131" s="28">
        <f t="shared" si="110"/>
        <v>130</v>
      </c>
      <c r="CX131" s="37" t="str">
        <f t="shared" ca="1" si="111"/>
        <v/>
      </c>
      <c r="CY131" s="28">
        <f t="shared" si="112"/>
        <v>130</v>
      </c>
      <c r="CZ131" s="37" t="str">
        <f t="shared" ca="1" si="111"/>
        <v/>
      </c>
      <c r="DA131" s="28">
        <f t="shared" si="113"/>
        <v>130</v>
      </c>
      <c r="DB131" s="37" t="str">
        <f t="shared" ca="1" si="114"/>
        <v/>
      </c>
      <c r="DC131" s="28">
        <f t="shared" si="115"/>
        <v>130</v>
      </c>
      <c r="DD131" s="37" t="str">
        <f t="shared" ca="1" si="116"/>
        <v/>
      </c>
      <c r="DN131" s="32">
        <v>130</v>
      </c>
      <c r="DO131" s="34" t="s">
        <v>661</v>
      </c>
      <c r="DP131" s="38">
        <f t="shared" si="100"/>
        <v>0</v>
      </c>
      <c r="DQ131" s="173" t="str">
        <f t="shared" ref="DQ131:DQ194" si="122">"("&amp;LEFT(DO131,4)&amp;") "&amp;DP131</f>
        <v>(Cunn) 0</v>
      </c>
      <c r="DR131" s="36" t="str">
        <f t="shared" ref="DR131:DR194" si="123">IF(DP131=0,"",DN131)</f>
        <v/>
      </c>
      <c r="DV131" s="176">
        <f t="shared" si="117"/>
        <v>0</v>
      </c>
      <c r="DW131" s="243">
        <f>IF(COUNTIF('Char Sheet p1'!$AP$7:$AP$35,DQ131)=0,0,ROUNDDOWN(SUMIF('Char Sheet p1'!$AP$7:$AP$35,DQ131,'Char Sheet p1'!$AQ$7:$AQ$35)/10,0))</f>
        <v>0</v>
      </c>
      <c r="DX131" s="240">
        <f t="shared" ref="DX131:DX194" si="124">DW131+DV131</f>
        <v>0</v>
      </c>
      <c r="DY131" s="36">
        <f t="shared" si="102"/>
        <v>26</v>
      </c>
      <c r="DZ131" s="36" t="str">
        <f t="shared" si="118"/>
        <v/>
      </c>
      <c r="EE131" s="55">
        <f t="shared" si="101"/>
        <v>2</v>
      </c>
    </row>
    <row r="132" spans="33:135">
      <c r="AG132" s="32" t="s">
        <v>150</v>
      </c>
      <c r="AH132" s="34" t="s">
        <v>773</v>
      </c>
      <c r="AI132" s="34"/>
      <c r="AJ132" s="31"/>
      <c r="AK132" s="31"/>
      <c r="AL132" s="31" t="str">
        <f t="shared" si="103"/>
        <v/>
      </c>
      <c r="AM132" s="31">
        <v>1</v>
      </c>
      <c r="AN132" s="31">
        <f t="shared" ref="AN132:AN195" si="125">AN131+1</f>
        <v>131</v>
      </c>
      <c r="AO132" s="35" t="s">
        <v>131</v>
      </c>
      <c r="AP132" s="134"/>
      <c r="AQ132" s="47"/>
      <c r="AR132" s="134"/>
      <c r="AS132" s="47"/>
      <c r="AT132" s="134"/>
      <c r="AU132" s="47"/>
      <c r="AV132" s="134"/>
      <c r="AW132" s="47"/>
      <c r="AX132" s="134"/>
      <c r="AY132" s="47"/>
      <c r="AZ132" s="134"/>
      <c r="BA132" s="47"/>
      <c r="BB132" s="134"/>
      <c r="BC132" s="47"/>
      <c r="BD132" s="134"/>
      <c r="BE132" s="47"/>
      <c r="BF132" s="134"/>
      <c r="BG132" s="47"/>
      <c r="BH132" s="134"/>
      <c r="BI132" s="47"/>
      <c r="BJ132" s="134"/>
      <c r="BK132" s="47">
        <v>1</v>
      </c>
      <c r="BL132" s="134"/>
      <c r="BM132" s="47"/>
      <c r="BN132" s="134"/>
      <c r="BO132" s="47"/>
      <c r="BP132" s="134"/>
      <c r="BQ132" s="47"/>
      <c r="BR132" s="134"/>
      <c r="BS132" s="47"/>
      <c r="BT132" s="134"/>
      <c r="BU132" s="47"/>
      <c r="BV132" s="134"/>
      <c r="BW132" s="47"/>
      <c r="BX132" s="134"/>
      <c r="BY132" s="47"/>
      <c r="BZ132" s="134"/>
      <c r="CA132" s="47"/>
      <c r="CB132" s="120"/>
      <c r="CC132" s="120"/>
      <c r="CD132" s="120"/>
      <c r="CE132" s="120"/>
      <c r="CF132" s="120"/>
      <c r="CG132" s="120"/>
      <c r="CH132" s="120"/>
      <c r="CI132" s="120"/>
      <c r="CJ132" s="120"/>
      <c r="CK132" s="179">
        <f t="shared" si="104"/>
        <v>131</v>
      </c>
      <c r="CL132" s="37" t="str">
        <f t="shared" ca="1" si="105"/>
        <v/>
      </c>
      <c r="CM132" s="36">
        <f t="shared" si="119"/>
        <v>131</v>
      </c>
      <c r="CN132" s="37" t="str">
        <f ca="1">IF($AN132&gt;CN$1,"",INDEX($AG$2:$AG$226,SMALL(CM$2:$CM$226,$AN132),1))</f>
        <v/>
      </c>
      <c r="CO132" s="36">
        <f t="shared" si="120"/>
        <v>131</v>
      </c>
      <c r="CP132" s="37" t="str">
        <f t="shared" ca="1" si="121"/>
        <v/>
      </c>
      <c r="CS132" s="28">
        <f t="shared" si="106"/>
        <v>131</v>
      </c>
      <c r="CT132" s="37" t="str">
        <f t="shared" ca="1" si="107"/>
        <v/>
      </c>
      <c r="CU132" s="28">
        <f t="shared" si="108"/>
        <v>131</v>
      </c>
      <c r="CV132" s="37" t="str">
        <f t="shared" ca="1" si="109"/>
        <v/>
      </c>
      <c r="CW132" s="28">
        <f t="shared" si="110"/>
        <v>131</v>
      </c>
      <c r="CX132" s="37" t="str">
        <f t="shared" ca="1" si="111"/>
        <v/>
      </c>
      <c r="CY132" s="28">
        <f t="shared" si="112"/>
        <v>131</v>
      </c>
      <c r="CZ132" s="37" t="str">
        <f t="shared" ca="1" si="111"/>
        <v/>
      </c>
      <c r="DA132" s="28">
        <f t="shared" si="113"/>
        <v>131</v>
      </c>
      <c r="DB132" s="37" t="str">
        <f t="shared" ca="1" si="114"/>
        <v/>
      </c>
      <c r="DC132" s="28">
        <f t="shared" si="115"/>
        <v>131</v>
      </c>
      <c r="DD132" s="37" t="str">
        <f t="shared" ca="1" si="116"/>
        <v/>
      </c>
      <c r="DN132" s="32">
        <v>131</v>
      </c>
      <c r="DO132" s="34" t="s">
        <v>664</v>
      </c>
      <c r="DP132" s="38" t="str">
        <f t="shared" ref="DP132:DP157" si="126">Q2</f>
        <v>Act</v>
      </c>
      <c r="DQ132" s="173" t="str">
        <f t="shared" si="122"/>
        <v>(Dece) Act</v>
      </c>
      <c r="DR132" s="36">
        <f t="shared" si="123"/>
        <v>131</v>
      </c>
      <c r="DV132" s="176">
        <f t="shared" si="117"/>
        <v>0</v>
      </c>
      <c r="DW132" s="243">
        <f>IF(COUNTIF('Char Sheet p1'!$AP$7:$AP$35,DQ132)=0,0,ROUNDDOWN(SUMIF('Char Sheet p1'!$AP$7:$AP$35,DQ132,'Char Sheet p1'!$AQ$7:$AQ$35)/10,0))</f>
        <v>0</v>
      </c>
      <c r="DX132" s="240">
        <f t="shared" si="124"/>
        <v>0</v>
      </c>
      <c r="DY132" s="36">
        <v>1</v>
      </c>
      <c r="DZ132" s="36" t="str">
        <f t="shared" si="118"/>
        <v/>
      </c>
      <c r="EE132" s="245">
        <f>'Char Sheet p1'!B21</f>
        <v>3</v>
      </c>
    </row>
    <row r="133" spans="33:135">
      <c r="AG133" s="32" t="s">
        <v>151</v>
      </c>
      <c r="AH133" s="34" t="s">
        <v>773</v>
      </c>
      <c r="AI133" s="34"/>
      <c r="AJ133" s="31"/>
      <c r="AK133" s="31"/>
      <c r="AL133" s="31" t="str">
        <f t="shared" si="103"/>
        <v/>
      </c>
      <c r="AM133" s="31">
        <v>1</v>
      </c>
      <c r="AN133" s="31">
        <f t="shared" si="125"/>
        <v>132</v>
      </c>
      <c r="AO133" s="35" t="s">
        <v>132</v>
      </c>
      <c r="AP133" s="134"/>
      <c r="AQ133" s="47"/>
      <c r="AR133" s="134"/>
      <c r="AS133" s="47"/>
      <c r="AT133" s="134"/>
      <c r="AU133" s="47"/>
      <c r="AV133" s="134"/>
      <c r="AW133" s="47"/>
      <c r="AX133" s="134"/>
      <c r="AY133" s="47"/>
      <c r="AZ133" s="134"/>
      <c r="BA133" s="47"/>
      <c r="BB133" s="134"/>
      <c r="BC133" s="47"/>
      <c r="BD133" s="134"/>
      <c r="BE133" s="47"/>
      <c r="BF133" s="134"/>
      <c r="BG133" s="47"/>
      <c r="BH133" s="134"/>
      <c r="BI133" s="47"/>
      <c r="BJ133" s="134"/>
      <c r="BK133" s="47"/>
      <c r="BL133" s="134"/>
      <c r="BM133" s="47">
        <v>1</v>
      </c>
      <c r="BN133" s="134"/>
      <c r="BO133" s="47"/>
      <c r="BP133" s="134"/>
      <c r="BQ133" s="47"/>
      <c r="BR133" s="134"/>
      <c r="BS133" s="47"/>
      <c r="BT133" s="134"/>
      <c r="BU133" s="47"/>
      <c r="BV133" s="134"/>
      <c r="BW133" s="47"/>
      <c r="BX133" s="134"/>
      <c r="BY133" s="47"/>
      <c r="BZ133" s="134"/>
      <c r="CA133" s="47"/>
      <c r="CB133" s="120"/>
      <c r="CC133" s="120"/>
      <c r="CD133" s="120"/>
      <c r="CE133" s="120"/>
      <c r="CF133" s="120"/>
      <c r="CG133" s="120"/>
      <c r="CH133" s="120"/>
      <c r="CI133" s="120"/>
      <c r="CJ133" s="120"/>
      <c r="CK133" s="179">
        <f t="shared" si="104"/>
        <v>132</v>
      </c>
      <c r="CL133" s="37" t="str">
        <f t="shared" ca="1" si="105"/>
        <v/>
      </c>
      <c r="CM133" s="36">
        <f t="shared" si="119"/>
        <v>132</v>
      </c>
      <c r="CN133" s="37" t="str">
        <f ca="1">IF($AN133&gt;CN$1,"",INDEX($AG$2:$AG$226,SMALL(CM$2:$CM$226,$AN133),1))</f>
        <v/>
      </c>
      <c r="CO133" s="36">
        <f t="shared" si="120"/>
        <v>132</v>
      </c>
      <c r="CP133" s="37" t="str">
        <f t="shared" ca="1" si="121"/>
        <v/>
      </c>
      <c r="CS133" s="28">
        <f t="shared" si="106"/>
        <v>132</v>
      </c>
      <c r="CT133" s="37" t="str">
        <f t="shared" ca="1" si="107"/>
        <v/>
      </c>
      <c r="CU133" s="28">
        <f t="shared" si="108"/>
        <v>132</v>
      </c>
      <c r="CV133" s="37" t="str">
        <f t="shared" ca="1" si="109"/>
        <v/>
      </c>
      <c r="CW133" s="28">
        <f t="shared" si="110"/>
        <v>132</v>
      </c>
      <c r="CX133" s="37" t="str">
        <f t="shared" ca="1" si="111"/>
        <v/>
      </c>
      <c r="CY133" s="28">
        <f t="shared" si="112"/>
        <v>132</v>
      </c>
      <c r="CZ133" s="37" t="str">
        <f t="shared" ca="1" si="111"/>
        <v/>
      </c>
      <c r="DA133" s="28">
        <f t="shared" si="113"/>
        <v>132</v>
      </c>
      <c r="DB133" s="37" t="str">
        <f t="shared" ca="1" si="114"/>
        <v/>
      </c>
      <c r="DC133" s="28">
        <f t="shared" si="115"/>
        <v>132</v>
      </c>
      <c r="DD133" s="37" t="str">
        <f t="shared" ca="1" si="116"/>
        <v/>
      </c>
      <c r="DN133" s="32">
        <v>132</v>
      </c>
      <c r="DO133" s="34" t="s">
        <v>664</v>
      </c>
      <c r="DP133" s="38" t="str">
        <f t="shared" si="126"/>
        <v>Bluff</v>
      </c>
      <c r="DQ133" s="173" t="str">
        <f t="shared" si="122"/>
        <v>(Dece) Bluff</v>
      </c>
      <c r="DR133" s="36">
        <f t="shared" si="123"/>
        <v>132</v>
      </c>
      <c r="DV133" s="176">
        <f t="shared" si="117"/>
        <v>0</v>
      </c>
      <c r="DW133" s="243">
        <f>IF(COUNTIF('Char Sheet p1'!$AP$7:$AP$35,DQ133)=0,0,ROUNDDOWN(SUMIF('Char Sheet p1'!$AP$7:$AP$35,DQ133,'Char Sheet p1'!$AQ$7:$AQ$35)/10,0))</f>
        <v>0</v>
      </c>
      <c r="DX133" s="240">
        <f t="shared" si="124"/>
        <v>0</v>
      </c>
      <c r="DY133" s="36">
        <v>2</v>
      </c>
      <c r="DZ133" s="36" t="str">
        <f t="shared" si="118"/>
        <v/>
      </c>
      <c r="EE133" s="36">
        <f>EE132</f>
        <v>3</v>
      </c>
    </row>
    <row r="134" spans="33:135">
      <c r="AG134" s="32" t="s">
        <v>152</v>
      </c>
      <c r="AH134" s="34" t="s">
        <v>773</v>
      </c>
      <c r="AI134" s="34"/>
      <c r="AJ134" s="31"/>
      <c r="AK134" s="31"/>
      <c r="AL134" s="31" t="str">
        <f t="shared" si="103"/>
        <v/>
      </c>
      <c r="AM134" s="31">
        <v>1</v>
      </c>
      <c r="AN134" s="31">
        <f t="shared" si="125"/>
        <v>133</v>
      </c>
      <c r="AO134" s="35" t="s">
        <v>133</v>
      </c>
      <c r="AP134" s="134"/>
      <c r="AQ134" s="47"/>
      <c r="AR134" s="134"/>
      <c r="AS134" s="47"/>
      <c r="AT134" s="134"/>
      <c r="AU134" s="47"/>
      <c r="AV134" s="134"/>
      <c r="AW134" s="47"/>
      <c r="AX134" s="134"/>
      <c r="AY134" s="47"/>
      <c r="AZ134" s="134"/>
      <c r="BA134" s="47"/>
      <c r="BB134" s="134"/>
      <c r="BC134" s="47"/>
      <c r="BD134" s="134"/>
      <c r="BE134" s="47"/>
      <c r="BF134" s="134"/>
      <c r="BG134" s="47"/>
      <c r="BH134" s="134"/>
      <c r="BI134" s="47"/>
      <c r="BJ134" s="134"/>
      <c r="BK134" s="47"/>
      <c r="BL134" s="134"/>
      <c r="BM134" s="47"/>
      <c r="BN134" s="134"/>
      <c r="BO134" s="47">
        <v>1</v>
      </c>
      <c r="BP134" s="134"/>
      <c r="BQ134" s="47"/>
      <c r="BR134" s="134"/>
      <c r="BS134" s="47"/>
      <c r="BT134" s="134"/>
      <c r="BU134" s="47"/>
      <c r="BV134" s="134"/>
      <c r="BW134" s="47"/>
      <c r="BX134" s="134"/>
      <c r="BY134" s="47"/>
      <c r="BZ134" s="134"/>
      <c r="CA134" s="47"/>
      <c r="CB134" s="120"/>
      <c r="CC134" s="120"/>
      <c r="CD134" s="120"/>
      <c r="CE134" s="120"/>
      <c r="CF134" s="120"/>
      <c r="CG134" s="120"/>
      <c r="CH134" s="120"/>
      <c r="CI134" s="120"/>
      <c r="CJ134" s="120"/>
      <c r="CK134" s="179">
        <f t="shared" si="104"/>
        <v>133</v>
      </c>
      <c r="CL134" s="37" t="str">
        <f t="shared" ca="1" si="105"/>
        <v/>
      </c>
      <c r="CM134" s="36">
        <f t="shared" si="119"/>
        <v>133</v>
      </c>
      <c r="CN134" s="37" t="str">
        <f ca="1">IF($AN134&gt;CN$1,"",INDEX($AG$2:$AG$226,SMALL(CM$2:$CM$226,$AN134),1))</f>
        <v/>
      </c>
      <c r="CO134" s="36">
        <f t="shared" si="120"/>
        <v>133</v>
      </c>
      <c r="CP134" s="37" t="str">
        <f t="shared" ca="1" si="121"/>
        <v/>
      </c>
      <c r="CS134" s="28">
        <f t="shared" si="106"/>
        <v>133</v>
      </c>
      <c r="CT134" s="37" t="str">
        <f t="shared" ca="1" si="107"/>
        <v/>
      </c>
      <c r="CU134" s="28">
        <f t="shared" si="108"/>
        <v>133</v>
      </c>
      <c r="CV134" s="37" t="str">
        <f t="shared" ca="1" si="109"/>
        <v/>
      </c>
      <c r="CW134" s="28">
        <f t="shared" si="110"/>
        <v>133</v>
      </c>
      <c r="CX134" s="37" t="str">
        <f t="shared" ca="1" si="111"/>
        <v/>
      </c>
      <c r="CY134" s="28">
        <f t="shared" si="112"/>
        <v>133</v>
      </c>
      <c r="CZ134" s="37" t="str">
        <f t="shared" ca="1" si="111"/>
        <v/>
      </c>
      <c r="DA134" s="28">
        <f t="shared" si="113"/>
        <v>133</v>
      </c>
      <c r="DB134" s="37" t="str">
        <f t="shared" ca="1" si="114"/>
        <v/>
      </c>
      <c r="DC134" s="28">
        <f t="shared" si="115"/>
        <v>133</v>
      </c>
      <c r="DD134" s="37" t="str">
        <f t="shared" ca="1" si="116"/>
        <v/>
      </c>
      <c r="DN134" s="32">
        <v>133</v>
      </c>
      <c r="DO134" s="34" t="s">
        <v>664</v>
      </c>
      <c r="DP134" s="38" t="str">
        <f t="shared" si="126"/>
        <v>Cheat</v>
      </c>
      <c r="DQ134" s="173" t="str">
        <f t="shared" si="122"/>
        <v>(Dece) Cheat</v>
      </c>
      <c r="DR134" s="36">
        <f t="shared" si="123"/>
        <v>133</v>
      </c>
      <c r="DV134" s="176">
        <f t="shared" si="117"/>
        <v>0</v>
      </c>
      <c r="DW134" s="243">
        <f>IF(COUNTIF('Char Sheet p1'!$AP$7:$AP$35,DQ134)=0,0,ROUNDDOWN(SUMIF('Char Sheet p1'!$AP$7:$AP$35,DQ134,'Char Sheet p1'!$AQ$7:$AQ$35)/10,0))</f>
        <v>0</v>
      </c>
      <c r="DX134" s="240">
        <f t="shared" si="124"/>
        <v>0</v>
      </c>
      <c r="DY134" s="36">
        <v>3</v>
      </c>
      <c r="DZ134" s="36" t="str">
        <f t="shared" si="118"/>
        <v/>
      </c>
      <c r="EE134" s="36">
        <f t="shared" ref="EE134:EE157" si="127">EE133</f>
        <v>3</v>
      </c>
    </row>
    <row r="135" spans="33:135">
      <c r="AG135" s="32" t="s">
        <v>153</v>
      </c>
      <c r="AH135" s="34" t="s">
        <v>773</v>
      </c>
      <c r="AI135" s="34"/>
      <c r="AJ135" s="31"/>
      <c r="AK135" s="31"/>
      <c r="AL135" s="31" t="str">
        <f t="shared" si="103"/>
        <v/>
      </c>
      <c r="AM135" s="31">
        <v>1</v>
      </c>
      <c r="AN135" s="31">
        <f t="shared" si="125"/>
        <v>134</v>
      </c>
      <c r="AO135" s="35" t="s">
        <v>134</v>
      </c>
      <c r="AP135" s="134"/>
      <c r="AQ135" s="47"/>
      <c r="AR135" s="134"/>
      <c r="AS135" s="47"/>
      <c r="AT135" s="134"/>
      <c r="AU135" s="47"/>
      <c r="AV135" s="134"/>
      <c r="AW135" s="47"/>
      <c r="AX135" s="134"/>
      <c r="AY135" s="47"/>
      <c r="AZ135" s="134"/>
      <c r="BA135" s="47"/>
      <c r="BB135" s="134"/>
      <c r="BC135" s="47"/>
      <c r="BD135" s="134"/>
      <c r="BE135" s="47"/>
      <c r="BF135" s="134"/>
      <c r="BG135" s="47"/>
      <c r="BH135" s="134"/>
      <c r="BI135" s="47"/>
      <c r="BJ135" s="134"/>
      <c r="BK135" s="47"/>
      <c r="BL135" s="134"/>
      <c r="BM135" s="47"/>
      <c r="BN135" s="134"/>
      <c r="BO135" s="47"/>
      <c r="BP135" s="134"/>
      <c r="BQ135" s="47">
        <v>1</v>
      </c>
      <c r="BR135" s="134"/>
      <c r="BS135" s="47"/>
      <c r="BT135" s="134"/>
      <c r="BU135" s="47"/>
      <c r="BV135" s="134"/>
      <c r="BW135" s="47"/>
      <c r="BX135" s="134"/>
      <c r="BY135" s="47"/>
      <c r="BZ135" s="134"/>
      <c r="CA135" s="47"/>
      <c r="CB135" s="120"/>
      <c r="CC135" s="120"/>
      <c r="CD135" s="120"/>
      <c r="CE135" s="120"/>
      <c r="CF135" s="120"/>
      <c r="CG135" s="120"/>
      <c r="CH135" s="120"/>
      <c r="CI135" s="120"/>
      <c r="CJ135" s="120"/>
      <c r="CK135" s="179">
        <f t="shared" si="104"/>
        <v>134</v>
      </c>
      <c r="CL135" s="37" t="str">
        <f t="shared" ca="1" si="105"/>
        <v/>
      </c>
      <c r="CM135" s="36">
        <f t="shared" si="119"/>
        <v>134</v>
      </c>
      <c r="CN135" s="37" t="str">
        <f ca="1">IF($AN135&gt;CN$1,"",INDEX($AG$2:$AG$226,SMALL(CM$2:$CM$226,$AN135),1))</f>
        <v/>
      </c>
      <c r="CO135" s="36">
        <f t="shared" si="120"/>
        <v>134</v>
      </c>
      <c r="CP135" s="37" t="str">
        <f t="shared" ca="1" si="121"/>
        <v/>
      </c>
      <c r="CS135" s="28">
        <f t="shared" si="106"/>
        <v>134</v>
      </c>
      <c r="CT135" s="37" t="str">
        <f t="shared" ca="1" si="107"/>
        <v/>
      </c>
      <c r="CU135" s="28">
        <f t="shared" si="108"/>
        <v>134</v>
      </c>
      <c r="CV135" s="37" t="str">
        <f t="shared" ca="1" si="109"/>
        <v/>
      </c>
      <c r="CW135" s="28">
        <f t="shared" si="110"/>
        <v>134</v>
      </c>
      <c r="CX135" s="37" t="str">
        <f t="shared" ca="1" si="111"/>
        <v/>
      </c>
      <c r="CY135" s="28">
        <f t="shared" si="112"/>
        <v>134</v>
      </c>
      <c r="CZ135" s="37" t="str">
        <f t="shared" ca="1" si="111"/>
        <v/>
      </c>
      <c r="DA135" s="28">
        <f t="shared" si="113"/>
        <v>134</v>
      </c>
      <c r="DB135" s="37" t="str">
        <f t="shared" ca="1" si="114"/>
        <v/>
      </c>
      <c r="DC135" s="28">
        <f t="shared" si="115"/>
        <v>134</v>
      </c>
      <c r="DD135" s="37" t="str">
        <f t="shared" ca="1" si="116"/>
        <v/>
      </c>
      <c r="DN135" s="32">
        <v>134</v>
      </c>
      <c r="DO135" s="34" t="s">
        <v>664</v>
      </c>
      <c r="DP135" s="38" t="str">
        <f t="shared" si="126"/>
        <v>Disguise</v>
      </c>
      <c r="DQ135" s="173" t="str">
        <f t="shared" si="122"/>
        <v>(Dece) Disguise</v>
      </c>
      <c r="DR135" s="36">
        <f t="shared" si="123"/>
        <v>134</v>
      </c>
      <c r="DV135" s="176">
        <f t="shared" si="117"/>
        <v>0</v>
      </c>
      <c r="DW135" s="243">
        <f>IF(COUNTIF('Char Sheet p1'!$AP$7:$AP$35,DQ135)=0,0,ROUNDDOWN(SUMIF('Char Sheet p1'!$AP$7:$AP$35,DQ135,'Char Sheet p1'!$AQ$7:$AQ$35)/10,0))</f>
        <v>0</v>
      </c>
      <c r="DX135" s="240">
        <f t="shared" si="124"/>
        <v>0</v>
      </c>
      <c r="DY135" s="36">
        <v>4</v>
      </c>
      <c r="DZ135" s="36" t="str">
        <f t="shared" si="118"/>
        <v/>
      </c>
      <c r="EE135" s="36">
        <f t="shared" si="127"/>
        <v>3</v>
      </c>
    </row>
    <row r="136" spans="33:135">
      <c r="AG136" s="32" t="s">
        <v>154</v>
      </c>
      <c r="AH136" s="34" t="s">
        <v>773</v>
      </c>
      <c r="AI136" s="34"/>
      <c r="AJ136" s="31"/>
      <c r="AK136" s="31"/>
      <c r="AL136" s="31" t="str">
        <f t="shared" si="103"/>
        <v/>
      </c>
      <c r="AM136" s="31">
        <v>1</v>
      </c>
      <c r="AN136" s="31">
        <f t="shared" si="125"/>
        <v>135</v>
      </c>
      <c r="AO136" s="35" t="s">
        <v>135</v>
      </c>
      <c r="AP136" s="134"/>
      <c r="AQ136" s="47"/>
      <c r="AR136" s="134"/>
      <c r="AS136" s="47"/>
      <c r="AT136" s="134"/>
      <c r="AU136" s="47"/>
      <c r="AV136" s="134"/>
      <c r="AW136" s="47"/>
      <c r="AX136" s="134"/>
      <c r="AY136" s="47"/>
      <c r="AZ136" s="134"/>
      <c r="BA136" s="47"/>
      <c r="BB136" s="134"/>
      <c r="BC136" s="47"/>
      <c r="BD136" s="134"/>
      <c r="BE136" s="47"/>
      <c r="BF136" s="134"/>
      <c r="BG136" s="47"/>
      <c r="BH136" s="134"/>
      <c r="BI136" s="47"/>
      <c r="BJ136" s="134"/>
      <c r="BK136" s="47"/>
      <c r="BL136" s="134"/>
      <c r="BM136" s="47"/>
      <c r="BN136" s="134"/>
      <c r="BO136" s="47"/>
      <c r="BP136" s="134"/>
      <c r="BQ136" s="47"/>
      <c r="BR136" s="134"/>
      <c r="BS136" s="47">
        <v>1</v>
      </c>
      <c r="BT136" s="134"/>
      <c r="BU136" s="47"/>
      <c r="BV136" s="134"/>
      <c r="BW136" s="47"/>
      <c r="BX136" s="134"/>
      <c r="BY136" s="47"/>
      <c r="BZ136" s="134"/>
      <c r="CA136" s="47"/>
      <c r="CB136" s="120"/>
      <c r="CC136" s="120"/>
      <c r="CD136" s="120"/>
      <c r="CE136" s="120"/>
      <c r="CF136" s="120"/>
      <c r="CG136" s="120"/>
      <c r="CH136" s="120"/>
      <c r="CI136" s="120"/>
      <c r="CJ136" s="120"/>
      <c r="CK136" s="179">
        <f t="shared" si="104"/>
        <v>135</v>
      </c>
      <c r="CL136" s="37" t="str">
        <f t="shared" ca="1" si="105"/>
        <v/>
      </c>
      <c r="CM136" s="36">
        <f t="shared" si="119"/>
        <v>135</v>
      </c>
      <c r="CN136" s="37" t="str">
        <f ca="1">IF($AN136&gt;CN$1,"",INDEX($AG$2:$AG$226,SMALL(CM$2:$CM$226,$AN136),1))</f>
        <v/>
      </c>
      <c r="CO136" s="36">
        <f t="shared" si="120"/>
        <v>135</v>
      </c>
      <c r="CP136" s="37" t="str">
        <f t="shared" ca="1" si="121"/>
        <v/>
      </c>
      <c r="CS136" s="28">
        <f t="shared" si="106"/>
        <v>135</v>
      </c>
      <c r="CT136" s="37" t="str">
        <f t="shared" ca="1" si="107"/>
        <v/>
      </c>
      <c r="CU136" s="28">
        <f t="shared" si="108"/>
        <v>135</v>
      </c>
      <c r="CV136" s="37" t="str">
        <f t="shared" ca="1" si="109"/>
        <v/>
      </c>
      <c r="CW136" s="28">
        <f t="shared" si="110"/>
        <v>135</v>
      </c>
      <c r="CX136" s="37" t="str">
        <f t="shared" ca="1" si="111"/>
        <v/>
      </c>
      <c r="CY136" s="28">
        <f t="shared" si="112"/>
        <v>135</v>
      </c>
      <c r="CZ136" s="37" t="str">
        <f t="shared" ca="1" si="111"/>
        <v/>
      </c>
      <c r="DA136" s="28">
        <f t="shared" si="113"/>
        <v>135</v>
      </c>
      <c r="DB136" s="37" t="str">
        <f t="shared" ca="1" si="114"/>
        <v/>
      </c>
      <c r="DC136" s="28">
        <f t="shared" si="115"/>
        <v>135</v>
      </c>
      <c r="DD136" s="37" t="str">
        <f t="shared" ca="1" si="116"/>
        <v/>
      </c>
      <c r="DN136" s="32">
        <v>135</v>
      </c>
      <c r="DO136" s="34" t="s">
        <v>664</v>
      </c>
      <c r="DP136" s="38">
        <f t="shared" si="126"/>
        <v>0</v>
      </c>
      <c r="DQ136" s="173" t="str">
        <f t="shared" si="122"/>
        <v>(Dece) 0</v>
      </c>
      <c r="DR136" s="36" t="str">
        <f t="shared" si="123"/>
        <v/>
      </c>
      <c r="DV136" s="176">
        <f t="shared" si="117"/>
        <v>0</v>
      </c>
      <c r="DW136" s="243">
        <f>IF(COUNTIF('Char Sheet p1'!$AP$7:$AP$35,DQ136)=0,0,ROUNDDOWN(SUMIF('Char Sheet p1'!$AP$7:$AP$35,DQ136,'Char Sheet p1'!$AQ$7:$AQ$35)/10,0))</f>
        <v>0</v>
      </c>
      <c r="DX136" s="240">
        <f t="shared" si="124"/>
        <v>0</v>
      </c>
      <c r="DY136" s="36">
        <f>DY135+1</f>
        <v>5</v>
      </c>
      <c r="DZ136" s="36" t="str">
        <f t="shared" si="118"/>
        <v/>
      </c>
      <c r="EE136" s="36">
        <f t="shared" si="127"/>
        <v>3</v>
      </c>
    </row>
    <row r="137" spans="33:135">
      <c r="AG137" s="32" t="s">
        <v>155</v>
      </c>
      <c r="AH137" s="34" t="s">
        <v>773</v>
      </c>
      <c r="AI137" s="34"/>
      <c r="AJ137" s="31"/>
      <c r="AK137" s="31"/>
      <c r="AL137" s="31" t="str">
        <f t="shared" si="103"/>
        <v/>
      </c>
      <c r="AM137" s="31">
        <v>1</v>
      </c>
      <c r="AN137" s="31">
        <f t="shared" si="125"/>
        <v>136</v>
      </c>
      <c r="AO137" s="35" t="s">
        <v>136</v>
      </c>
      <c r="AP137" s="134"/>
      <c r="AQ137" s="47"/>
      <c r="AR137" s="134"/>
      <c r="AS137" s="47"/>
      <c r="AT137" s="134"/>
      <c r="AU137" s="47"/>
      <c r="AV137" s="134"/>
      <c r="AW137" s="47"/>
      <c r="AX137" s="134"/>
      <c r="AY137" s="47"/>
      <c r="AZ137" s="134"/>
      <c r="BA137" s="47"/>
      <c r="BB137" s="134"/>
      <c r="BC137" s="47"/>
      <c r="BD137" s="134"/>
      <c r="BE137" s="47"/>
      <c r="BF137" s="134"/>
      <c r="BG137" s="47"/>
      <c r="BH137" s="134"/>
      <c r="BI137" s="47"/>
      <c r="BJ137" s="134"/>
      <c r="BK137" s="47"/>
      <c r="BL137" s="134"/>
      <c r="BM137" s="47"/>
      <c r="BN137" s="134"/>
      <c r="BO137" s="47"/>
      <c r="BP137" s="134"/>
      <c r="BQ137" s="47"/>
      <c r="BR137" s="134"/>
      <c r="BS137" s="47"/>
      <c r="BT137" s="134"/>
      <c r="BU137" s="47">
        <v>1</v>
      </c>
      <c r="BV137" s="134"/>
      <c r="BW137" s="47"/>
      <c r="BX137" s="134"/>
      <c r="BY137" s="47"/>
      <c r="BZ137" s="134"/>
      <c r="CA137" s="47"/>
      <c r="CB137" s="120"/>
      <c r="CC137" s="120"/>
      <c r="CD137" s="120"/>
      <c r="CE137" s="120"/>
      <c r="CF137" s="120"/>
      <c r="CG137" s="120"/>
      <c r="CH137" s="120"/>
      <c r="CI137" s="120"/>
      <c r="CJ137" s="120"/>
      <c r="CK137" s="179">
        <f t="shared" si="104"/>
        <v>136</v>
      </c>
      <c r="CL137" s="37" t="str">
        <f t="shared" ca="1" si="105"/>
        <v/>
      </c>
      <c r="CM137" s="36">
        <f t="shared" si="119"/>
        <v>136</v>
      </c>
      <c r="CN137" s="37" t="str">
        <f ca="1">IF($AN137&gt;CN$1,"",INDEX($AG$2:$AG$226,SMALL(CM$2:$CM$226,$AN137),1))</f>
        <v/>
      </c>
      <c r="CO137" s="36">
        <f t="shared" si="120"/>
        <v>136</v>
      </c>
      <c r="CP137" s="37" t="str">
        <f t="shared" ca="1" si="121"/>
        <v/>
      </c>
      <c r="CS137" s="28">
        <f t="shared" si="106"/>
        <v>136</v>
      </c>
      <c r="CT137" s="37" t="str">
        <f t="shared" ca="1" si="107"/>
        <v/>
      </c>
      <c r="CU137" s="28">
        <f t="shared" si="108"/>
        <v>136</v>
      </c>
      <c r="CV137" s="37" t="str">
        <f t="shared" ca="1" si="109"/>
        <v/>
      </c>
      <c r="CW137" s="28">
        <f t="shared" si="110"/>
        <v>136</v>
      </c>
      <c r="CX137" s="37" t="str">
        <f t="shared" ca="1" si="111"/>
        <v/>
      </c>
      <c r="CY137" s="28">
        <f t="shared" si="112"/>
        <v>136</v>
      </c>
      <c r="CZ137" s="37" t="str">
        <f t="shared" ca="1" si="111"/>
        <v/>
      </c>
      <c r="DA137" s="28">
        <f t="shared" si="113"/>
        <v>136</v>
      </c>
      <c r="DB137" s="37" t="str">
        <f t="shared" ca="1" si="114"/>
        <v/>
      </c>
      <c r="DC137" s="28">
        <f t="shared" si="115"/>
        <v>136</v>
      </c>
      <c r="DD137" s="37" t="str">
        <f t="shared" ca="1" si="116"/>
        <v/>
      </c>
      <c r="DN137" s="32">
        <v>136</v>
      </c>
      <c r="DO137" s="34" t="s">
        <v>664</v>
      </c>
      <c r="DP137" s="38">
        <f t="shared" si="126"/>
        <v>0</v>
      </c>
      <c r="DQ137" s="173" t="str">
        <f t="shared" si="122"/>
        <v>(Dece) 0</v>
      </c>
      <c r="DR137" s="36" t="str">
        <f t="shared" si="123"/>
        <v/>
      </c>
      <c r="DV137" s="176">
        <f t="shared" si="117"/>
        <v>0</v>
      </c>
      <c r="DW137" s="243">
        <f>IF(COUNTIF('Char Sheet p1'!$AP$7:$AP$35,DQ137)=0,0,ROUNDDOWN(SUMIF('Char Sheet p1'!$AP$7:$AP$35,DQ137,'Char Sheet p1'!$AQ$7:$AQ$35)/10,0))</f>
        <v>0</v>
      </c>
      <c r="DX137" s="240">
        <f t="shared" si="124"/>
        <v>0</v>
      </c>
      <c r="DY137" s="36">
        <f t="shared" ref="DY137:DY157" si="128">DY136+1</f>
        <v>6</v>
      </c>
      <c r="DZ137" s="36" t="str">
        <f t="shared" si="118"/>
        <v/>
      </c>
      <c r="EE137" s="36">
        <f t="shared" si="127"/>
        <v>3</v>
      </c>
    </row>
    <row r="138" spans="33:135">
      <c r="AG138" s="32" t="s">
        <v>156</v>
      </c>
      <c r="AH138" s="34" t="s">
        <v>773</v>
      </c>
      <c r="AI138" s="34"/>
      <c r="AJ138" s="31"/>
      <c r="AK138" s="31"/>
      <c r="AL138" s="31" t="str">
        <f t="shared" si="103"/>
        <v/>
      </c>
      <c r="AM138" s="31">
        <v>1</v>
      </c>
      <c r="AN138" s="31">
        <f t="shared" si="125"/>
        <v>137</v>
      </c>
      <c r="AO138" s="35" t="s">
        <v>137</v>
      </c>
      <c r="AP138" s="134"/>
      <c r="AQ138" s="47"/>
      <c r="AR138" s="134"/>
      <c r="AS138" s="47"/>
      <c r="AT138" s="134"/>
      <c r="AU138" s="47"/>
      <c r="AV138" s="134"/>
      <c r="AW138" s="47"/>
      <c r="AX138" s="134"/>
      <c r="AY138" s="47"/>
      <c r="AZ138" s="134"/>
      <c r="BA138" s="47"/>
      <c r="BB138" s="134"/>
      <c r="BC138" s="47"/>
      <c r="BD138" s="134"/>
      <c r="BE138" s="47"/>
      <c r="BF138" s="134"/>
      <c r="BG138" s="47"/>
      <c r="BH138" s="134"/>
      <c r="BI138" s="47"/>
      <c r="BJ138" s="134"/>
      <c r="BK138" s="47"/>
      <c r="BL138" s="134"/>
      <c r="BM138" s="47"/>
      <c r="BN138" s="134"/>
      <c r="BO138" s="47"/>
      <c r="BP138" s="134"/>
      <c r="BQ138" s="47"/>
      <c r="BR138" s="134"/>
      <c r="BS138" s="47"/>
      <c r="BT138" s="134"/>
      <c r="BU138" s="47"/>
      <c r="BV138" s="134"/>
      <c r="BW138" s="47">
        <v>1</v>
      </c>
      <c r="BX138" s="134"/>
      <c r="BY138" s="47"/>
      <c r="BZ138" s="134"/>
      <c r="CA138" s="47"/>
      <c r="CB138" s="120"/>
      <c r="CC138" s="120"/>
      <c r="CD138" s="120"/>
      <c r="CE138" s="120"/>
      <c r="CF138" s="120"/>
      <c r="CG138" s="120"/>
      <c r="CH138" s="120"/>
      <c r="CI138" s="120"/>
      <c r="CJ138" s="120"/>
      <c r="CK138" s="179">
        <f t="shared" si="104"/>
        <v>137</v>
      </c>
      <c r="CL138" s="37" t="str">
        <f t="shared" ca="1" si="105"/>
        <v/>
      </c>
      <c r="CM138" s="36">
        <f t="shared" si="119"/>
        <v>137</v>
      </c>
      <c r="CN138" s="37" t="str">
        <f ca="1">IF($AN138&gt;CN$1,"",INDEX($AG$2:$AG$226,SMALL(CM$2:$CM$226,$AN138),1))</f>
        <v/>
      </c>
      <c r="CO138" s="36">
        <f t="shared" si="120"/>
        <v>137</v>
      </c>
      <c r="CP138" s="37" t="str">
        <f t="shared" ca="1" si="121"/>
        <v/>
      </c>
      <c r="CS138" s="28">
        <f t="shared" si="106"/>
        <v>137</v>
      </c>
      <c r="CT138" s="37" t="str">
        <f t="shared" ca="1" si="107"/>
        <v/>
      </c>
      <c r="CU138" s="28">
        <f t="shared" si="108"/>
        <v>137</v>
      </c>
      <c r="CV138" s="37" t="str">
        <f t="shared" ca="1" si="109"/>
        <v/>
      </c>
      <c r="CW138" s="28">
        <f t="shared" si="110"/>
        <v>137</v>
      </c>
      <c r="CX138" s="37" t="str">
        <f t="shared" ca="1" si="111"/>
        <v/>
      </c>
      <c r="CY138" s="28">
        <f t="shared" si="112"/>
        <v>137</v>
      </c>
      <c r="CZ138" s="37" t="str">
        <f t="shared" ca="1" si="111"/>
        <v/>
      </c>
      <c r="DA138" s="28">
        <f t="shared" si="113"/>
        <v>137</v>
      </c>
      <c r="DB138" s="37" t="str">
        <f t="shared" ca="1" si="114"/>
        <v/>
      </c>
      <c r="DC138" s="28">
        <f t="shared" si="115"/>
        <v>137</v>
      </c>
      <c r="DD138" s="37" t="str">
        <f t="shared" ca="1" si="116"/>
        <v/>
      </c>
      <c r="DN138" s="32">
        <v>137</v>
      </c>
      <c r="DO138" s="34" t="s">
        <v>664</v>
      </c>
      <c r="DP138" s="38">
        <f t="shared" si="126"/>
        <v>0</v>
      </c>
      <c r="DQ138" s="173" t="str">
        <f t="shared" si="122"/>
        <v>(Dece) 0</v>
      </c>
      <c r="DR138" s="36" t="str">
        <f t="shared" si="123"/>
        <v/>
      </c>
      <c r="DV138" s="176">
        <f t="shared" si="117"/>
        <v>0</v>
      </c>
      <c r="DW138" s="243">
        <f>IF(COUNTIF('Char Sheet p1'!$AP$7:$AP$35,DQ138)=0,0,ROUNDDOWN(SUMIF('Char Sheet p1'!$AP$7:$AP$35,DQ138,'Char Sheet p1'!$AQ$7:$AQ$35)/10,0))</f>
        <v>0</v>
      </c>
      <c r="DX138" s="240">
        <f t="shared" si="124"/>
        <v>0</v>
      </c>
      <c r="DY138" s="36">
        <f t="shared" si="128"/>
        <v>7</v>
      </c>
      <c r="DZ138" s="36" t="str">
        <f t="shared" si="118"/>
        <v/>
      </c>
      <c r="EE138" s="36">
        <f t="shared" si="127"/>
        <v>3</v>
      </c>
    </row>
    <row r="139" spans="33:135">
      <c r="AG139" s="32" t="s">
        <v>120</v>
      </c>
      <c r="AH139" s="34" t="s">
        <v>773</v>
      </c>
      <c r="AI139" s="34"/>
      <c r="AJ139" s="31"/>
      <c r="AK139" s="31"/>
      <c r="AL139" s="31" t="str">
        <f t="shared" si="103"/>
        <v/>
      </c>
      <c r="AM139" s="31">
        <v>1</v>
      </c>
      <c r="AN139" s="31">
        <f t="shared" si="125"/>
        <v>138</v>
      </c>
      <c r="AO139" s="35" t="s">
        <v>138</v>
      </c>
      <c r="AP139" s="134"/>
      <c r="AQ139" s="47"/>
      <c r="AR139" s="134"/>
      <c r="AS139" s="47"/>
      <c r="AT139" s="134"/>
      <c r="AU139" s="47"/>
      <c r="AV139" s="134"/>
      <c r="AW139" s="47"/>
      <c r="AX139" s="134"/>
      <c r="AY139" s="47"/>
      <c r="AZ139" s="134"/>
      <c r="BA139" s="47"/>
      <c r="BB139" s="134"/>
      <c r="BC139" s="47"/>
      <c r="BD139" s="134"/>
      <c r="BE139" s="47"/>
      <c r="BF139" s="134"/>
      <c r="BG139" s="47"/>
      <c r="BH139" s="134"/>
      <c r="BI139" s="47"/>
      <c r="BJ139" s="134"/>
      <c r="BK139" s="47"/>
      <c r="BL139" s="134"/>
      <c r="BM139" s="47"/>
      <c r="BN139" s="134"/>
      <c r="BO139" s="47"/>
      <c r="BP139" s="134"/>
      <c r="BQ139" s="47"/>
      <c r="BR139" s="134"/>
      <c r="BS139" s="47"/>
      <c r="BT139" s="134"/>
      <c r="BU139" s="47"/>
      <c r="BV139" s="134"/>
      <c r="BW139" s="47"/>
      <c r="BX139" s="134"/>
      <c r="BY139" s="47">
        <v>1</v>
      </c>
      <c r="BZ139" s="134"/>
      <c r="CA139" s="47"/>
      <c r="CB139" s="120"/>
      <c r="CC139" s="120"/>
      <c r="CD139" s="120"/>
      <c r="CE139" s="120"/>
      <c r="CF139" s="120"/>
      <c r="CG139" s="120"/>
      <c r="CH139" s="120"/>
      <c r="CI139" s="120"/>
      <c r="CJ139" s="120"/>
      <c r="CK139" s="179">
        <f t="shared" si="104"/>
        <v>138</v>
      </c>
      <c r="CL139" s="37" t="str">
        <f t="shared" ca="1" si="105"/>
        <v/>
      </c>
      <c r="CM139" s="36">
        <f t="shared" si="119"/>
        <v>138</v>
      </c>
      <c r="CN139" s="37" t="str">
        <f ca="1">IF($AN139&gt;CN$1,"",INDEX($AG$2:$AG$226,SMALL(CM$2:$CM$226,$AN139),1))</f>
        <v/>
      </c>
      <c r="CO139" s="36">
        <f t="shared" si="120"/>
        <v>138</v>
      </c>
      <c r="CP139" s="37" t="str">
        <f t="shared" ca="1" si="121"/>
        <v/>
      </c>
      <c r="CS139" s="28">
        <f t="shared" si="106"/>
        <v>138</v>
      </c>
      <c r="CT139" s="37" t="str">
        <f t="shared" ca="1" si="107"/>
        <v/>
      </c>
      <c r="CU139" s="28">
        <f t="shared" si="108"/>
        <v>138</v>
      </c>
      <c r="CV139" s="37" t="str">
        <f t="shared" ca="1" si="109"/>
        <v/>
      </c>
      <c r="CW139" s="28">
        <f t="shared" si="110"/>
        <v>138</v>
      </c>
      <c r="CX139" s="37" t="str">
        <f t="shared" ca="1" si="111"/>
        <v/>
      </c>
      <c r="CY139" s="28">
        <f t="shared" si="112"/>
        <v>138</v>
      </c>
      <c r="CZ139" s="37" t="str">
        <f t="shared" ca="1" si="111"/>
        <v/>
      </c>
      <c r="DA139" s="28">
        <f t="shared" si="113"/>
        <v>138</v>
      </c>
      <c r="DB139" s="37" t="str">
        <f t="shared" ca="1" si="114"/>
        <v/>
      </c>
      <c r="DC139" s="28">
        <f t="shared" si="115"/>
        <v>138</v>
      </c>
      <c r="DD139" s="37" t="str">
        <f t="shared" ca="1" si="116"/>
        <v/>
      </c>
      <c r="DN139" s="32">
        <v>138</v>
      </c>
      <c r="DO139" s="34" t="s">
        <v>664</v>
      </c>
      <c r="DP139" s="38">
        <f t="shared" si="126"/>
        <v>0</v>
      </c>
      <c r="DQ139" s="173" t="str">
        <f t="shared" si="122"/>
        <v>(Dece) 0</v>
      </c>
      <c r="DR139" s="36" t="str">
        <f t="shared" si="123"/>
        <v/>
      </c>
      <c r="DV139" s="176">
        <f t="shared" si="117"/>
        <v>0</v>
      </c>
      <c r="DW139" s="243">
        <f>IF(COUNTIF('Char Sheet p1'!$AP$7:$AP$35,DQ139)=0,0,ROUNDDOWN(SUMIF('Char Sheet p1'!$AP$7:$AP$35,DQ139,'Char Sheet p1'!$AQ$7:$AQ$35)/10,0))</f>
        <v>0</v>
      </c>
      <c r="DX139" s="240">
        <f t="shared" si="124"/>
        <v>0</v>
      </c>
      <c r="DY139" s="36">
        <f t="shared" si="128"/>
        <v>8</v>
      </c>
      <c r="DZ139" s="36" t="str">
        <f t="shared" si="118"/>
        <v/>
      </c>
      <c r="EE139" s="36">
        <f t="shared" si="127"/>
        <v>3</v>
      </c>
    </row>
    <row r="140" spans="33:135">
      <c r="AG140" s="32" t="s">
        <v>157</v>
      </c>
      <c r="AH140" s="34" t="s">
        <v>773</v>
      </c>
      <c r="AI140" s="34"/>
      <c r="AJ140" s="31"/>
      <c r="AK140" s="31"/>
      <c r="AL140" s="31" t="str">
        <f t="shared" si="103"/>
        <v/>
      </c>
      <c r="AM140" s="31">
        <v>1</v>
      </c>
      <c r="AN140" s="31">
        <f t="shared" si="125"/>
        <v>139</v>
      </c>
      <c r="AO140" s="35" t="s">
        <v>139</v>
      </c>
      <c r="AP140" s="134"/>
      <c r="AQ140" s="47"/>
      <c r="AR140" s="134"/>
      <c r="AS140" s="47"/>
      <c r="AT140" s="134"/>
      <c r="AU140" s="47"/>
      <c r="AV140" s="134"/>
      <c r="AW140" s="47"/>
      <c r="AX140" s="134"/>
      <c r="AY140" s="47"/>
      <c r="AZ140" s="134"/>
      <c r="BA140" s="47"/>
      <c r="BB140" s="134"/>
      <c r="BC140" s="47"/>
      <c r="BD140" s="134"/>
      <c r="BE140" s="47"/>
      <c r="BF140" s="134"/>
      <c r="BG140" s="47"/>
      <c r="BH140" s="134"/>
      <c r="BI140" s="47"/>
      <c r="BJ140" s="134"/>
      <c r="BK140" s="47"/>
      <c r="BL140" s="134"/>
      <c r="BM140" s="47"/>
      <c r="BN140" s="134"/>
      <c r="BO140" s="47"/>
      <c r="BP140" s="134"/>
      <c r="BQ140" s="47"/>
      <c r="BR140" s="134"/>
      <c r="BS140" s="47"/>
      <c r="BT140" s="134"/>
      <c r="BU140" s="47"/>
      <c r="BV140" s="134"/>
      <c r="BW140" s="47"/>
      <c r="BX140" s="134"/>
      <c r="BY140" s="47"/>
      <c r="BZ140" s="134"/>
      <c r="CA140" s="47">
        <v>1</v>
      </c>
      <c r="CB140" s="120"/>
      <c r="CC140" s="120"/>
      <c r="CD140" s="120"/>
      <c r="CE140" s="120"/>
      <c r="CF140" s="120"/>
      <c r="CG140" s="120"/>
      <c r="CH140" s="120"/>
      <c r="CI140" s="120"/>
      <c r="CJ140" s="120"/>
      <c r="CK140" s="179">
        <f t="shared" si="104"/>
        <v>139</v>
      </c>
      <c r="CL140" s="37" t="str">
        <f t="shared" ca="1" si="105"/>
        <v/>
      </c>
      <c r="CM140" s="36">
        <f t="shared" si="119"/>
        <v>139</v>
      </c>
      <c r="CN140" s="37" t="str">
        <f ca="1">IF($AN140&gt;CN$1,"",INDEX($AG$2:$AG$226,SMALL(CM$2:$CM$226,$AN140),1))</f>
        <v/>
      </c>
      <c r="CO140" s="36">
        <f t="shared" si="120"/>
        <v>139</v>
      </c>
      <c r="CP140" s="37" t="str">
        <f t="shared" ca="1" si="121"/>
        <v/>
      </c>
      <c r="CS140" s="28">
        <f t="shared" si="106"/>
        <v>139</v>
      </c>
      <c r="CT140" s="37" t="str">
        <f t="shared" ca="1" si="107"/>
        <v/>
      </c>
      <c r="CU140" s="28">
        <f t="shared" si="108"/>
        <v>139</v>
      </c>
      <c r="CV140" s="37" t="str">
        <f t="shared" ca="1" si="109"/>
        <v/>
      </c>
      <c r="CW140" s="28">
        <f t="shared" si="110"/>
        <v>139</v>
      </c>
      <c r="CX140" s="37" t="str">
        <f t="shared" ca="1" si="111"/>
        <v/>
      </c>
      <c r="CY140" s="28">
        <f t="shared" si="112"/>
        <v>139</v>
      </c>
      <c r="CZ140" s="37" t="str">
        <f t="shared" ca="1" si="111"/>
        <v/>
      </c>
      <c r="DA140" s="28">
        <f t="shared" si="113"/>
        <v>139</v>
      </c>
      <c r="DB140" s="37" t="str">
        <f t="shared" ca="1" si="114"/>
        <v/>
      </c>
      <c r="DC140" s="28">
        <f t="shared" si="115"/>
        <v>139</v>
      </c>
      <c r="DD140" s="37" t="str">
        <f t="shared" ca="1" si="116"/>
        <v/>
      </c>
      <c r="DN140" s="32">
        <v>139</v>
      </c>
      <c r="DO140" s="34" t="s">
        <v>664</v>
      </c>
      <c r="DP140" s="38">
        <f t="shared" si="126"/>
        <v>0</v>
      </c>
      <c r="DQ140" s="173" t="str">
        <f t="shared" si="122"/>
        <v>(Dece) 0</v>
      </c>
      <c r="DR140" s="36" t="str">
        <f t="shared" si="123"/>
        <v/>
      </c>
      <c r="DV140" s="176">
        <f t="shared" si="117"/>
        <v>0</v>
      </c>
      <c r="DW140" s="243">
        <f>IF(COUNTIF('Char Sheet p1'!$AP$7:$AP$35,DQ140)=0,0,ROUNDDOWN(SUMIF('Char Sheet p1'!$AP$7:$AP$35,DQ140,'Char Sheet p1'!$AQ$7:$AQ$35)/10,0))</f>
        <v>0</v>
      </c>
      <c r="DX140" s="240">
        <f t="shared" si="124"/>
        <v>0</v>
      </c>
      <c r="DY140" s="36">
        <f t="shared" si="128"/>
        <v>9</v>
      </c>
      <c r="DZ140" s="36" t="str">
        <f t="shared" si="118"/>
        <v/>
      </c>
      <c r="EE140" s="36">
        <f t="shared" si="127"/>
        <v>3</v>
      </c>
    </row>
    <row r="141" spans="33:135">
      <c r="AG141" s="32" t="s">
        <v>771</v>
      </c>
      <c r="AH141" s="34" t="s">
        <v>773</v>
      </c>
      <c r="AI141" s="34" t="s">
        <v>797</v>
      </c>
      <c r="AJ141" s="31" t="s">
        <v>970</v>
      </c>
      <c r="AK141" s="31"/>
      <c r="AL141" s="31" t="str">
        <f t="shared" si="103"/>
        <v/>
      </c>
      <c r="AM141" s="31">
        <f>N(survival&gt;3)</f>
        <v>0</v>
      </c>
      <c r="AN141" s="31">
        <f t="shared" si="125"/>
        <v>140</v>
      </c>
      <c r="AO141" s="35" t="s">
        <v>158</v>
      </c>
      <c r="AP141" s="134"/>
      <c r="AQ141" s="47"/>
      <c r="AR141" s="134"/>
      <c r="AS141" s="47"/>
      <c r="AT141" s="134"/>
      <c r="AU141" s="47"/>
      <c r="AV141" s="134"/>
      <c r="AW141" s="47"/>
      <c r="AX141" s="134"/>
      <c r="AY141" s="47"/>
      <c r="AZ141" s="134"/>
      <c r="BA141" s="47"/>
      <c r="BB141" s="134"/>
      <c r="BC141" s="47"/>
      <c r="BD141" s="134"/>
      <c r="BE141" s="47"/>
      <c r="BF141" s="134"/>
      <c r="BG141" s="47"/>
      <c r="BH141" s="134"/>
      <c r="BI141" s="47"/>
      <c r="BJ141" s="134"/>
      <c r="BK141" s="47"/>
      <c r="BL141" s="134"/>
      <c r="BM141" s="47"/>
      <c r="BN141" s="134"/>
      <c r="BO141" s="47"/>
      <c r="BP141" s="134"/>
      <c r="BQ141" s="47"/>
      <c r="BR141" s="134"/>
      <c r="BS141" s="47"/>
      <c r="BT141" s="134"/>
      <c r="BU141" s="47"/>
      <c r="BV141" s="134"/>
      <c r="BW141" s="47"/>
      <c r="BX141" s="134"/>
      <c r="BY141" s="47"/>
      <c r="BZ141" s="134"/>
      <c r="CA141" s="47"/>
      <c r="CB141" s="120"/>
      <c r="CC141" s="120"/>
      <c r="CD141" s="120"/>
      <c r="CE141" s="120"/>
      <c r="CF141" s="120"/>
      <c r="CG141" s="120"/>
      <c r="CH141" s="120"/>
      <c r="CI141" s="120"/>
      <c r="CJ141" s="120"/>
      <c r="CK141" s="179" t="str">
        <f t="shared" si="104"/>
        <v/>
      </c>
      <c r="CL141" s="37" t="str">
        <f t="shared" ca="1" si="105"/>
        <v/>
      </c>
      <c r="CM141" s="36" t="str">
        <f t="shared" si="119"/>
        <v/>
      </c>
      <c r="CN141" s="37" t="str">
        <f ca="1">IF($AN141&gt;CN$1,"",INDEX($AG$2:$AG$226,SMALL(CM$2:$CM$226,$AN141),1))</f>
        <v/>
      </c>
      <c r="CO141" s="36" t="str">
        <f t="shared" si="120"/>
        <v/>
      </c>
      <c r="CP141" s="37" t="str">
        <f t="shared" ca="1" si="121"/>
        <v/>
      </c>
      <c r="CS141" s="28" t="str">
        <f t="shared" si="106"/>
        <v/>
      </c>
      <c r="CT141" s="37" t="str">
        <f t="shared" ca="1" si="107"/>
        <v/>
      </c>
      <c r="CU141" s="28" t="str">
        <f t="shared" si="108"/>
        <v/>
      </c>
      <c r="CV141" s="37" t="str">
        <f t="shared" ca="1" si="109"/>
        <v/>
      </c>
      <c r="CW141" s="28" t="str">
        <f t="shared" si="110"/>
        <v/>
      </c>
      <c r="CX141" s="37" t="str">
        <f t="shared" ca="1" si="111"/>
        <v/>
      </c>
      <c r="CY141" s="28" t="str">
        <f t="shared" si="112"/>
        <v/>
      </c>
      <c r="CZ141" s="37" t="str">
        <f t="shared" ca="1" si="111"/>
        <v/>
      </c>
      <c r="DA141" s="28" t="str">
        <f t="shared" si="113"/>
        <v/>
      </c>
      <c r="DB141" s="37" t="str">
        <f t="shared" ca="1" si="114"/>
        <v/>
      </c>
      <c r="DC141" s="28" t="str">
        <f t="shared" si="115"/>
        <v/>
      </c>
      <c r="DD141" s="37" t="str">
        <f t="shared" ca="1" si="116"/>
        <v/>
      </c>
      <c r="DN141" s="32">
        <v>140</v>
      </c>
      <c r="DO141" s="34" t="s">
        <v>664</v>
      </c>
      <c r="DP141" s="38">
        <f t="shared" si="126"/>
        <v>0</v>
      </c>
      <c r="DQ141" s="173" t="str">
        <f t="shared" si="122"/>
        <v>(Dece) 0</v>
      </c>
      <c r="DR141" s="36" t="str">
        <f t="shared" si="123"/>
        <v/>
      </c>
      <c r="DV141" s="176">
        <f t="shared" si="117"/>
        <v>0</v>
      </c>
      <c r="DW141" s="243">
        <f>IF(COUNTIF('Char Sheet p1'!$AP$7:$AP$35,DQ141)=0,0,ROUNDDOWN(SUMIF('Char Sheet p1'!$AP$7:$AP$35,DQ141,'Char Sheet p1'!$AQ$7:$AQ$35)/10,0))</f>
        <v>0</v>
      </c>
      <c r="DX141" s="240">
        <f t="shared" si="124"/>
        <v>0</v>
      </c>
      <c r="DY141" s="36">
        <f t="shared" si="128"/>
        <v>10</v>
      </c>
      <c r="DZ141" s="36" t="str">
        <f t="shared" si="118"/>
        <v/>
      </c>
      <c r="EE141" s="36">
        <f t="shared" si="127"/>
        <v>3</v>
      </c>
    </row>
    <row r="142" spans="33:135">
      <c r="AG142" s="32" t="s">
        <v>823</v>
      </c>
      <c r="AH142" s="34" t="s">
        <v>789</v>
      </c>
      <c r="AI142" s="34"/>
      <c r="AJ142" s="31"/>
      <c r="AK142" s="31"/>
      <c r="AL142" s="31" t="str">
        <f t="shared" si="103"/>
        <v/>
      </c>
      <c r="AM142" s="31">
        <v>1</v>
      </c>
      <c r="AN142" s="31">
        <f t="shared" si="125"/>
        <v>141</v>
      </c>
      <c r="AO142" s="35" t="s">
        <v>159</v>
      </c>
      <c r="AP142" s="134"/>
      <c r="AQ142" s="47"/>
      <c r="AR142" s="134"/>
      <c r="AS142" s="47"/>
      <c r="AT142" s="134"/>
      <c r="AU142" s="47"/>
      <c r="AV142" s="134"/>
      <c r="AW142" s="47"/>
      <c r="AX142" s="134"/>
      <c r="AY142" s="47"/>
      <c r="AZ142" s="134"/>
      <c r="BA142" s="47"/>
      <c r="BB142" s="134"/>
      <c r="BC142" s="47"/>
      <c r="BD142" s="134"/>
      <c r="BE142" s="47"/>
      <c r="BF142" s="134"/>
      <c r="BG142" s="47"/>
      <c r="BH142" s="134"/>
      <c r="BI142" s="47"/>
      <c r="BJ142" s="134"/>
      <c r="BK142" s="47"/>
      <c r="BL142" s="134"/>
      <c r="BM142" s="47"/>
      <c r="BN142" s="134"/>
      <c r="BO142" s="47"/>
      <c r="BP142" s="134"/>
      <c r="BQ142" s="47"/>
      <c r="BR142" s="134"/>
      <c r="BS142" s="47"/>
      <c r="BT142" s="134"/>
      <c r="BU142" s="47"/>
      <c r="BV142" s="134"/>
      <c r="BW142" s="47"/>
      <c r="BX142" s="134"/>
      <c r="BY142" s="47"/>
      <c r="BZ142" s="134"/>
      <c r="CA142" s="47"/>
      <c r="CB142" s="120"/>
      <c r="CC142" s="120"/>
      <c r="CD142" s="120"/>
      <c r="CE142" s="120"/>
      <c r="CF142" s="120"/>
      <c r="CG142" s="120"/>
      <c r="CH142" s="120"/>
      <c r="CI142" s="120"/>
      <c r="CJ142" s="120"/>
      <c r="CK142" s="179">
        <f t="shared" si="104"/>
        <v>141</v>
      </c>
      <c r="CL142" s="37" t="str">
        <f t="shared" ca="1" si="105"/>
        <v/>
      </c>
      <c r="CM142" s="36">
        <f t="shared" si="119"/>
        <v>141</v>
      </c>
      <c r="CN142" s="37" t="str">
        <f ca="1">IF($AN142&gt;CN$1,"",INDEX($AG$2:$AG$226,SMALL(CM$2:$CM$226,$AN142),1))</f>
        <v/>
      </c>
      <c r="CO142" s="36">
        <f t="shared" si="120"/>
        <v>141</v>
      </c>
      <c r="CP142" s="37" t="str">
        <f t="shared" ca="1" si="121"/>
        <v/>
      </c>
      <c r="CS142" s="28">
        <f t="shared" si="106"/>
        <v>141</v>
      </c>
      <c r="CT142" s="37" t="str">
        <f t="shared" ca="1" si="107"/>
        <v/>
      </c>
      <c r="CU142" s="28">
        <f t="shared" si="108"/>
        <v>141</v>
      </c>
      <c r="CV142" s="37" t="str">
        <f t="shared" ca="1" si="109"/>
        <v/>
      </c>
      <c r="CW142" s="28">
        <f t="shared" si="110"/>
        <v>141</v>
      </c>
      <c r="CX142" s="37" t="str">
        <f t="shared" ca="1" si="111"/>
        <v/>
      </c>
      <c r="CY142" s="28">
        <f t="shared" si="112"/>
        <v>141</v>
      </c>
      <c r="CZ142" s="37" t="str">
        <f t="shared" ca="1" si="111"/>
        <v/>
      </c>
      <c r="DA142" s="28">
        <f t="shared" si="113"/>
        <v>141</v>
      </c>
      <c r="DB142" s="37" t="str">
        <f t="shared" ca="1" si="114"/>
        <v/>
      </c>
      <c r="DC142" s="28">
        <f t="shared" si="115"/>
        <v>141</v>
      </c>
      <c r="DD142" s="37" t="str">
        <f t="shared" ca="1" si="116"/>
        <v/>
      </c>
      <c r="DN142" s="32">
        <v>141</v>
      </c>
      <c r="DO142" s="34" t="s">
        <v>664</v>
      </c>
      <c r="DP142" s="38">
        <f t="shared" si="126"/>
        <v>0</v>
      </c>
      <c r="DQ142" s="173" t="str">
        <f t="shared" si="122"/>
        <v>(Dece) 0</v>
      </c>
      <c r="DR142" s="36" t="str">
        <f t="shared" si="123"/>
        <v/>
      </c>
      <c r="DV142" s="176">
        <f t="shared" si="117"/>
        <v>0</v>
      </c>
      <c r="DW142" s="243">
        <f>IF(COUNTIF('Char Sheet p1'!$AP$7:$AP$35,DQ142)=0,0,ROUNDDOWN(SUMIF('Char Sheet p1'!$AP$7:$AP$35,DQ142,'Char Sheet p1'!$AQ$7:$AQ$35)/10,0))</f>
        <v>0</v>
      </c>
      <c r="DX142" s="240">
        <f t="shared" si="124"/>
        <v>0</v>
      </c>
      <c r="DY142" s="36">
        <f t="shared" si="128"/>
        <v>11</v>
      </c>
      <c r="DZ142" s="36" t="str">
        <f t="shared" si="118"/>
        <v/>
      </c>
      <c r="EE142" s="36">
        <f t="shared" si="127"/>
        <v>3</v>
      </c>
    </row>
    <row r="143" spans="33:135">
      <c r="AG143" s="32" t="s">
        <v>824</v>
      </c>
      <c r="AH143" s="34" t="s">
        <v>789</v>
      </c>
      <c r="AI143" s="34" t="s">
        <v>882</v>
      </c>
      <c r="AJ143" s="31"/>
      <c r="AK143" s="31"/>
      <c r="AL143" s="31" t="str">
        <f t="shared" si="103"/>
        <v/>
      </c>
      <c r="AM143" s="31">
        <f ca="1">N(AND(will&gt;3,SUMIF(wilspec,"Dedication",wilspecval)&gt;0,COUNTIF(qualities,"Third Eye")&gt;0,COUNTIF(qualities,"Animal Cohort")&gt;0))</f>
        <v>0</v>
      </c>
      <c r="AN143" s="31">
        <f t="shared" si="125"/>
        <v>142</v>
      </c>
      <c r="AO143" s="35" t="s">
        <v>160</v>
      </c>
      <c r="AP143" s="134"/>
      <c r="AQ143" s="47"/>
      <c r="AR143" s="134"/>
      <c r="AS143" s="47"/>
      <c r="AT143" s="134"/>
      <c r="AU143" s="47"/>
      <c r="AV143" s="134"/>
      <c r="AW143" s="47"/>
      <c r="AX143" s="134"/>
      <c r="AY143" s="47"/>
      <c r="AZ143" s="134"/>
      <c r="BA143" s="47"/>
      <c r="BB143" s="134"/>
      <c r="BC143" s="47"/>
      <c r="BD143" s="134"/>
      <c r="BE143" s="47"/>
      <c r="BF143" s="134"/>
      <c r="BG143" s="47"/>
      <c r="BH143" s="134"/>
      <c r="BI143" s="47"/>
      <c r="BJ143" s="134"/>
      <c r="BK143" s="47"/>
      <c r="BL143" s="134"/>
      <c r="BM143" s="47"/>
      <c r="BN143" s="134"/>
      <c r="BO143" s="47"/>
      <c r="BP143" s="134"/>
      <c r="BQ143" s="47"/>
      <c r="BR143" s="134"/>
      <c r="BS143" s="47"/>
      <c r="BT143" s="134"/>
      <c r="BU143" s="47"/>
      <c r="BV143" s="134"/>
      <c r="BW143" s="47"/>
      <c r="BX143" s="134"/>
      <c r="BY143" s="47"/>
      <c r="BZ143" s="134"/>
      <c r="CA143" s="47"/>
      <c r="CB143" s="120"/>
      <c r="CC143" s="120"/>
      <c r="CD143" s="120"/>
      <c r="CE143" s="120"/>
      <c r="CF143" s="120"/>
      <c r="CG143" s="120"/>
      <c r="CH143" s="120"/>
      <c r="CI143" s="120"/>
      <c r="CJ143" s="120"/>
      <c r="CK143" s="179" t="str">
        <f t="shared" ca="1" si="104"/>
        <v/>
      </c>
      <c r="CL143" s="37" t="str">
        <f t="shared" ca="1" si="105"/>
        <v/>
      </c>
      <c r="CM143" s="36" t="str">
        <f t="shared" ca="1" si="119"/>
        <v/>
      </c>
      <c r="CN143" s="37" t="str">
        <f ca="1">IF($AN143&gt;CN$1,"",INDEX($AG$2:$AG$226,SMALL(CM$2:$CM$226,$AN143),1))</f>
        <v/>
      </c>
      <c r="CO143" s="36" t="str">
        <f t="shared" ca="1" si="120"/>
        <v/>
      </c>
      <c r="CP143" s="37" t="str">
        <f t="shared" ca="1" si="121"/>
        <v/>
      </c>
      <c r="CS143" s="28" t="str">
        <f t="shared" ca="1" si="106"/>
        <v/>
      </c>
      <c r="CT143" s="37" t="str">
        <f t="shared" ca="1" si="107"/>
        <v/>
      </c>
      <c r="CU143" s="28" t="str">
        <f t="shared" ca="1" si="108"/>
        <v/>
      </c>
      <c r="CV143" s="37" t="str">
        <f t="shared" ca="1" si="109"/>
        <v/>
      </c>
      <c r="CW143" s="28" t="str">
        <f t="shared" ca="1" si="110"/>
        <v/>
      </c>
      <c r="CX143" s="37" t="str">
        <f t="shared" ca="1" si="111"/>
        <v/>
      </c>
      <c r="CY143" s="28" t="str">
        <f t="shared" ca="1" si="112"/>
        <v/>
      </c>
      <c r="CZ143" s="37" t="str">
        <f t="shared" ca="1" si="111"/>
        <v/>
      </c>
      <c r="DA143" s="28" t="str">
        <f t="shared" ca="1" si="113"/>
        <v/>
      </c>
      <c r="DB143" s="37" t="str">
        <f t="shared" ca="1" si="114"/>
        <v/>
      </c>
      <c r="DC143" s="28" t="str">
        <f t="shared" ca="1" si="115"/>
        <v/>
      </c>
      <c r="DD143" s="37" t="str">
        <f t="shared" ca="1" si="116"/>
        <v/>
      </c>
      <c r="DN143" s="32">
        <v>142</v>
      </c>
      <c r="DO143" s="34" t="s">
        <v>664</v>
      </c>
      <c r="DP143" s="38">
        <f t="shared" si="126"/>
        <v>0</v>
      </c>
      <c r="DQ143" s="173" t="str">
        <f t="shared" si="122"/>
        <v>(Dece) 0</v>
      </c>
      <c r="DR143" s="36" t="str">
        <f t="shared" si="123"/>
        <v/>
      </c>
      <c r="DV143" s="176">
        <f t="shared" si="117"/>
        <v>0</v>
      </c>
      <c r="DW143" s="243">
        <f>IF(COUNTIF('Char Sheet p1'!$AP$7:$AP$35,DQ143)=0,0,ROUNDDOWN(SUMIF('Char Sheet p1'!$AP$7:$AP$35,DQ143,'Char Sheet p1'!$AQ$7:$AQ$35)/10,0))</f>
        <v>0</v>
      </c>
      <c r="DX143" s="240">
        <f t="shared" si="124"/>
        <v>0</v>
      </c>
      <c r="DY143" s="36">
        <f t="shared" si="128"/>
        <v>12</v>
      </c>
      <c r="DZ143" s="36" t="str">
        <f t="shared" si="118"/>
        <v/>
      </c>
      <c r="EE143" s="36">
        <f t="shared" si="127"/>
        <v>3</v>
      </c>
    </row>
    <row r="144" spans="33:135">
      <c r="AG144" s="32" t="s">
        <v>858</v>
      </c>
      <c r="AH144" s="34" t="s">
        <v>880</v>
      </c>
      <c r="AI144" s="34" t="s">
        <v>935</v>
      </c>
      <c r="AJ144" s="31"/>
      <c r="AK144" s="31"/>
      <c r="AL144" s="31" t="str">
        <f t="shared" si="103"/>
        <v/>
      </c>
      <c r="AM144" s="31">
        <f ca="1">N(SUMIF(endspec,"Resilience",endspecval)&gt;0)</f>
        <v>0</v>
      </c>
      <c r="AN144" s="31">
        <f t="shared" si="125"/>
        <v>143</v>
      </c>
      <c r="AO144" s="35" t="s">
        <v>959</v>
      </c>
      <c r="AP144" s="134"/>
      <c r="AQ144" s="47"/>
      <c r="AR144" s="134"/>
      <c r="AS144" s="47"/>
      <c r="AT144" s="134"/>
      <c r="AU144" s="47"/>
      <c r="AV144" s="134"/>
      <c r="AW144" s="47"/>
      <c r="AX144" s="134"/>
      <c r="AY144" s="47"/>
      <c r="AZ144" s="134"/>
      <c r="BA144" s="47"/>
      <c r="BB144" s="134"/>
      <c r="BC144" s="47"/>
      <c r="BD144" s="134"/>
      <c r="BE144" s="47"/>
      <c r="BF144" s="134"/>
      <c r="BG144" s="47"/>
      <c r="BH144" s="134"/>
      <c r="BI144" s="47"/>
      <c r="BJ144" s="134"/>
      <c r="BK144" s="47"/>
      <c r="BL144" s="134"/>
      <c r="BM144" s="47"/>
      <c r="BN144" s="134"/>
      <c r="BO144" s="47"/>
      <c r="BP144" s="134"/>
      <c r="BQ144" s="47"/>
      <c r="BR144" s="134"/>
      <c r="BS144" s="47"/>
      <c r="BT144" s="134"/>
      <c r="BU144" s="47"/>
      <c r="BV144" s="134"/>
      <c r="BW144" s="47"/>
      <c r="BX144" s="134"/>
      <c r="BY144" s="47"/>
      <c r="BZ144" s="134"/>
      <c r="CA144" s="47"/>
      <c r="CB144" s="120"/>
      <c r="CC144" s="120"/>
      <c r="CD144" s="120"/>
      <c r="CE144" s="120"/>
      <c r="CF144" s="120">
        <f ca="1">SUMIF(endspec,"Resilience",endspecval)</f>
        <v>0</v>
      </c>
      <c r="CG144" s="120"/>
      <c r="CH144" s="120"/>
      <c r="CI144" s="120"/>
      <c r="CJ144" s="120"/>
      <c r="CK144" s="179" t="str">
        <f t="shared" ca="1" si="104"/>
        <v/>
      </c>
      <c r="CL144" s="37" t="str">
        <f t="shared" ca="1" si="105"/>
        <v/>
      </c>
      <c r="CM144" s="36" t="str">
        <f t="shared" ca="1" si="119"/>
        <v/>
      </c>
      <c r="CN144" s="37" t="str">
        <f ca="1">IF($AN144&gt;CN$1,"",INDEX($AG$2:$AG$226,SMALL(CM$2:$CM$226,$AN144),1))</f>
        <v/>
      </c>
      <c r="CO144" s="36" t="str">
        <f t="shared" ca="1" si="120"/>
        <v/>
      </c>
      <c r="CP144" s="37" t="str">
        <f t="shared" ca="1" si="121"/>
        <v/>
      </c>
      <c r="CS144" s="28" t="str">
        <f t="shared" ca="1" si="106"/>
        <v/>
      </c>
      <c r="CT144" s="37" t="str">
        <f t="shared" ca="1" si="107"/>
        <v/>
      </c>
      <c r="CU144" s="28" t="str">
        <f t="shared" ca="1" si="108"/>
        <v/>
      </c>
      <c r="CV144" s="37" t="str">
        <f t="shared" ca="1" si="109"/>
        <v/>
      </c>
      <c r="CW144" s="28" t="str">
        <f t="shared" ca="1" si="110"/>
        <v/>
      </c>
      <c r="CX144" s="37" t="str">
        <f t="shared" ca="1" si="111"/>
        <v/>
      </c>
      <c r="CY144" s="28" t="str">
        <f t="shared" ca="1" si="112"/>
        <v/>
      </c>
      <c r="CZ144" s="37" t="str">
        <f t="shared" ca="1" si="111"/>
        <v/>
      </c>
      <c r="DA144" s="28" t="str">
        <f t="shared" ca="1" si="113"/>
        <v/>
      </c>
      <c r="DB144" s="37" t="str">
        <f t="shared" ca="1" si="114"/>
        <v/>
      </c>
      <c r="DC144" s="28" t="str">
        <f t="shared" ca="1" si="115"/>
        <v/>
      </c>
      <c r="DD144" s="37" t="str">
        <f t="shared" ca="1" si="116"/>
        <v/>
      </c>
      <c r="DN144" s="32">
        <v>143</v>
      </c>
      <c r="DO144" s="34" t="s">
        <v>664</v>
      </c>
      <c r="DP144" s="38">
        <f t="shared" si="126"/>
        <v>0</v>
      </c>
      <c r="DQ144" s="173" t="str">
        <f t="shared" si="122"/>
        <v>(Dece) 0</v>
      </c>
      <c r="DR144" s="36" t="str">
        <f t="shared" si="123"/>
        <v/>
      </c>
      <c r="DV144" s="176">
        <f t="shared" si="117"/>
        <v>0</v>
      </c>
      <c r="DW144" s="243">
        <f>IF(COUNTIF('Char Sheet p1'!$AP$7:$AP$35,DQ144)=0,0,ROUNDDOWN(SUMIF('Char Sheet p1'!$AP$7:$AP$35,DQ144,'Char Sheet p1'!$AQ$7:$AQ$35)/10,0))</f>
        <v>0</v>
      </c>
      <c r="DX144" s="240">
        <f t="shared" si="124"/>
        <v>0</v>
      </c>
      <c r="DY144" s="36">
        <f t="shared" si="128"/>
        <v>13</v>
      </c>
      <c r="DZ144" s="36" t="str">
        <f t="shared" si="118"/>
        <v/>
      </c>
      <c r="EE144" s="36">
        <f t="shared" si="127"/>
        <v>3</v>
      </c>
    </row>
    <row r="145" spans="31:135">
      <c r="AG145" s="32" t="s">
        <v>859</v>
      </c>
      <c r="AH145" s="34" t="s">
        <v>880</v>
      </c>
      <c r="AI145" s="34" t="s">
        <v>936</v>
      </c>
      <c r="AJ145" s="31"/>
      <c r="AK145" s="31"/>
      <c r="AL145" s="31" t="str">
        <f t="shared" si="103"/>
        <v/>
      </c>
      <c r="AM145" s="31">
        <f ca="1">N(AND(fighting&gt;2,status&gt;2,SUMIF(staspec,"Tournaments",staspecval)&gt;0,SUMIF(figspec,"Spears",figspecval)&gt;0))</f>
        <v>0</v>
      </c>
      <c r="AN145" s="31">
        <f t="shared" si="125"/>
        <v>144</v>
      </c>
      <c r="AO145" s="35" t="s">
        <v>161</v>
      </c>
      <c r="AP145" s="134"/>
      <c r="AQ145" s="47"/>
      <c r="AR145" s="134"/>
      <c r="AS145" s="47"/>
      <c r="AT145" s="134"/>
      <c r="AU145" s="47"/>
      <c r="AV145" s="134"/>
      <c r="AW145" s="47"/>
      <c r="AX145" s="134"/>
      <c r="AY145" s="47"/>
      <c r="AZ145" s="134"/>
      <c r="BA145" s="47"/>
      <c r="BB145" s="134"/>
      <c r="BC145" s="47"/>
      <c r="BD145" s="134"/>
      <c r="BE145" s="47"/>
      <c r="BF145" s="134"/>
      <c r="BG145" s="47"/>
      <c r="BH145" s="134"/>
      <c r="BI145" s="47"/>
      <c r="BJ145" s="134"/>
      <c r="BK145" s="47"/>
      <c r="BL145" s="134"/>
      <c r="BM145" s="47"/>
      <c r="BN145" s="134"/>
      <c r="BO145" s="47"/>
      <c r="BP145" s="134"/>
      <c r="BQ145" s="47"/>
      <c r="BR145" s="134"/>
      <c r="BS145" s="47"/>
      <c r="BT145" s="134"/>
      <c r="BU145" s="47"/>
      <c r="BV145" s="134"/>
      <c r="BW145" s="47"/>
      <c r="BX145" s="134"/>
      <c r="BY145" s="47"/>
      <c r="BZ145" s="134"/>
      <c r="CA145" s="47"/>
      <c r="CB145" s="120"/>
      <c r="CC145" s="120"/>
      <c r="CD145" s="120"/>
      <c r="CE145" s="120"/>
      <c r="CF145" s="120"/>
      <c r="CG145" s="120"/>
      <c r="CH145" s="120"/>
      <c r="CI145" s="120"/>
      <c r="CJ145" s="120"/>
      <c r="CK145" s="179" t="str">
        <f t="shared" ca="1" si="104"/>
        <v/>
      </c>
      <c r="CL145" s="37" t="str">
        <f t="shared" ca="1" si="105"/>
        <v/>
      </c>
      <c r="CM145" s="36" t="str">
        <f t="shared" ca="1" si="119"/>
        <v/>
      </c>
      <c r="CN145" s="37" t="str">
        <f ca="1">IF($AN145&gt;CN$1,"",INDEX($AG$2:$AG$226,SMALL(CM$2:$CM$226,$AN145),1))</f>
        <v/>
      </c>
      <c r="CO145" s="36" t="str">
        <f t="shared" ca="1" si="120"/>
        <v/>
      </c>
      <c r="CP145" s="37" t="str">
        <f t="shared" ca="1" si="121"/>
        <v/>
      </c>
      <c r="CS145" s="28" t="str">
        <f t="shared" ca="1" si="106"/>
        <v/>
      </c>
      <c r="CT145" s="37" t="str">
        <f t="shared" ca="1" si="107"/>
        <v/>
      </c>
      <c r="CU145" s="28" t="str">
        <f t="shared" ca="1" si="108"/>
        <v/>
      </c>
      <c r="CV145" s="37" t="str">
        <f t="shared" ca="1" si="109"/>
        <v/>
      </c>
      <c r="CW145" s="28" t="str">
        <f t="shared" ca="1" si="110"/>
        <v/>
      </c>
      <c r="CX145" s="37" t="str">
        <f t="shared" ca="1" si="111"/>
        <v/>
      </c>
      <c r="CY145" s="28" t="str">
        <f t="shared" ca="1" si="112"/>
        <v/>
      </c>
      <c r="CZ145" s="37" t="str">
        <f t="shared" ca="1" si="111"/>
        <v/>
      </c>
      <c r="DA145" s="28" t="str">
        <f t="shared" ca="1" si="113"/>
        <v/>
      </c>
      <c r="DB145" s="37" t="str">
        <f t="shared" ca="1" si="114"/>
        <v/>
      </c>
      <c r="DC145" s="28" t="str">
        <f t="shared" ca="1" si="115"/>
        <v/>
      </c>
      <c r="DD145" s="37" t="str">
        <f t="shared" ca="1" si="116"/>
        <v/>
      </c>
      <c r="DN145" s="32">
        <v>144</v>
      </c>
      <c r="DO145" s="34" t="s">
        <v>664</v>
      </c>
      <c r="DP145" s="38">
        <f t="shared" si="126"/>
        <v>0</v>
      </c>
      <c r="DQ145" s="173" t="str">
        <f t="shared" si="122"/>
        <v>(Dece) 0</v>
      </c>
      <c r="DR145" s="36" t="str">
        <f t="shared" si="123"/>
        <v/>
      </c>
      <c r="DV145" s="176">
        <f t="shared" si="117"/>
        <v>0</v>
      </c>
      <c r="DW145" s="243">
        <f>IF(COUNTIF('Char Sheet p1'!$AP$7:$AP$35,DQ145)=0,0,ROUNDDOWN(SUMIF('Char Sheet p1'!$AP$7:$AP$35,DQ145,'Char Sheet p1'!$AQ$7:$AQ$35)/10,0))</f>
        <v>0</v>
      </c>
      <c r="DX145" s="240">
        <f t="shared" si="124"/>
        <v>0</v>
      </c>
      <c r="DY145" s="36">
        <f t="shared" si="128"/>
        <v>14</v>
      </c>
      <c r="DZ145" s="36" t="str">
        <f t="shared" si="118"/>
        <v/>
      </c>
      <c r="EE145" s="36">
        <f t="shared" si="127"/>
        <v>3</v>
      </c>
    </row>
    <row r="146" spans="31:135">
      <c r="AG146" s="32" t="s">
        <v>772</v>
      </c>
      <c r="AH146" s="34" t="s">
        <v>773</v>
      </c>
      <c r="AI146" s="34"/>
      <c r="AJ146" s="31"/>
      <c r="AK146" s="31"/>
      <c r="AL146" s="31" t="str">
        <f t="shared" si="103"/>
        <v/>
      </c>
      <c r="AM146" s="31">
        <v>1</v>
      </c>
      <c r="AN146" s="31">
        <f t="shared" si="125"/>
        <v>145</v>
      </c>
      <c r="AO146" s="35" t="s">
        <v>162</v>
      </c>
      <c r="AP146" s="134"/>
      <c r="AQ146" s="47"/>
      <c r="AR146" s="134"/>
      <c r="AS146" s="47"/>
      <c r="AT146" s="134"/>
      <c r="AU146" s="47"/>
      <c r="AV146" s="134"/>
      <c r="AW146" s="47"/>
      <c r="AX146" s="134"/>
      <c r="AY146" s="47"/>
      <c r="AZ146" s="134"/>
      <c r="BA146" s="47"/>
      <c r="BB146" s="134"/>
      <c r="BC146" s="47"/>
      <c r="BD146" s="134"/>
      <c r="BE146" s="47"/>
      <c r="BF146" s="134"/>
      <c r="BG146" s="47"/>
      <c r="BH146" s="134"/>
      <c r="BI146" s="47"/>
      <c r="BJ146" s="134"/>
      <c r="BK146" s="47"/>
      <c r="BL146" s="134"/>
      <c r="BM146" s="47"/>
      <c r="BN146" s="134"/>
      <c r="BO146" s="47"/>
      <c r="BP146" s="134"/>
      <c r="BQ146" s="47"/>
      <c r="BR146" s="134"/>
      <c r="BS146" s="47"/>
      <c r="BT146" s="134"/>
      <c r="BU146" s="47"/>
      <c r="BV146" s="134"/>
      <c r="BW146" s="47"/>
      <c r="BX146" s="134"/>
      <c r="BY146" s="47"/>
      <c r="BZ146" s="134"/>
      <c r="CA146" s="47"/>
      <c r="CB146" s="120"/>
      <c r="CC146" s="120"/>
      <c r="CD146" s="120"/>
      <c r="CE146" s="120"/>
      <c r="CF146" s="120"/>
      <c r="CG146" s="120"/>
      <c r="CH146" s="120"/>
      <c r="CI146" s="120"/>
      <c r="CJ146" s="120"/>
      <c r="CK146" s="179">
        <f t="shared" si="104"/>
        <v>145</v>
      </c>
      <c r="CL146" s="49" t="str">
        <f t="shared" ca="1" si="105"/>
        <v/>
      </c>
      <c r="CM146" s="36">
        <f t="shared" si="119"/>
        <v>145</v>
      </c>
      <c r="CN146" s="49" t="str">
        <f ca="1">IF($AN146&gt;CN$1,"",INDEX($AG$2:$AG$226,SMALL(CM$2:$CM$226,$AN146),1))</f>
        <v/>
      </c>
      <c r="CO146" s="36">
        <f t="shared" si="120"/>
        <v>145</v>
      </c>
      <c r="CP146" s="49" t="str">
        <f t="shared" ca="1" si="121"/>
        <v/>
      </c>
      <c r="CS146" s="28">
        <f t="shared" si="106"/>
        <v>145</v>
      </c>
      <c r="CT146" s="49" t="str">
        <f t="shared" ca="1" si="107"/>
        <v/>
      </c>
      <c r="CU146" s="28">
        <f t="shared" si="108"/>
        <v>145</v>
      </c>
      <c r="CV146" s="49" t="str">
        <f t="shared" ca="1" si="109"/>
        <v/>
      </c>
      <c r="CW146" s="28">
        <f t="shared" si="110"/>
        <v>145</v>
      </c>
      <c r="CX146" s="49" t="str">
        <f t="shared" ca="1" si="111"/>
        <v/>
      </c>
      <c r="CY146" s="28">
        <f t="shared" si="112"/>
        <v>145</v>
      </c>
      <c r="CZ146" s="49" t="str">
        <f t="shared" ca="1" si="111"/>
        <v/>
      </c>
      <c r="DA146" s="28">
        <f t="shared" si="113"/>
        <v>145</v>
      </c>
      <c r="DB146" s="49" t="str">
        <f t="shared" ca="1" si="114"/>
        <v/>
      </c>
      <c r="DC146" s="28">
        <f t="shared" si="115"/>
        <v>145</v>
      </c>
      <c r="DD146" s="49" t="str">
        <f t="shared" ca="1" si="116"/>
        <v/>
      </c>
      <c r="DN146" s="32">
        <v>145</v>
      </c>
      <c r="DO146" s="34" t="s">
        <v>664</v>
      </c>
      <c r="DP146" s="38">
        <f t="shared" si="126"/>
        <v>0</v>
      </c>
      <c r="DQ146" s="173" t="str">
        <f t="shared" si="122"/>
        <v>(Dece) 0</v>
      </c>
      <c r="DR146" s="36" t="str">
        <f t="shared" si="123"/>
        <v/>
      </c>
      <c r="DV146" s="176">
        <f t="shared" si="117"/>
        <v>0</v>
      </c>
      <c r="DW146" s="243">
        <f>IF(COUNTIF('Char Sheet p1'!$AP$7:$AP$35,DQ146)=0,0,ROUNDDOWN(SUMIF('Char Sheet p1'!$AP$7:$AP$35,DQ146,'Char Sheet p1'!$AQ$7:$AQ$35)/10,0))</f>
        <v>0</v>
      </c>
      <c r="DX146" s="240">
        <f t="shared" si="124"/>
        <v>0</v>
      </c>
      <c r="DY146" s="36">
        <f t="shared" si="128"/>
        <v>15</v>
      </c>
      <c r="DZ146" s="36" t="str">
        <f t="shared" si="118"/>
        <v/>
      </c>
      <c r="EE146" s="36">
        <f t="shared" si="127"/>
        <v>3</v>
      </c>
    </row>
    <row r="147" spans="31:135">
      <c r="AE147" s="31"/>
      <c r="AG147" s="32" t="s">
        <v>877</v>
      </c>
      <c r="AH147" s="34" t="s">
        <v>881</v>
      </c>
      <c r="AI147" s="34"/>
      <c r="AJ147" s="31"/>
      <c r="AK147" s="31"/>
      <c r="AL147" s="31" t="str">
        <f t="shared" si="103"/>
        <v/>
      </c>
      <c r="AM147" s="31">
        <v>1</v>
      </c>
      <c r="AN147" s="31">
        <f t="shared" si="125"/>
        <v>146</v>
      </c>
      <c r="AO147" s="35" t="s">
        <v>967</v>
      </c>
      <c r="AP147" s="134"/>
      <c r="AQ147" s="47"/>
      <c r="AR147" s="134"/>
      <c r="AS147" s="47"/>
      <c r="AT147" s="134"/>
      <c r="AU147" s="47"/>
      <c r="AV147" s="134"/>
      <c r="AW147" s="47"/>
      <c r="AX147" s="134"/>
      <c r="AY147" s="47"/>
      <c r="AZ147" s="134"/>
      <c r="BA147" s="47">
        <f>cunning</f>
        <v>2</v>
      </c>
      <c r="BB147" s="134"/>
      <c r="BC147" s="47"/>
      <c r="BD147" s="134"/>
      <c r="BE147" s="47"/>
      <c r="BF147" s="134"/>
      <c r="BG147" s="47"/>
      <c r="BH147" s="134"/>
      <c r="BI147" s="47"/>
      <c r="BJ147" s="134"/>
      <c r="BK147" s="47"/>
      <c r="BL147" s="134"/>
      <c r="BM147" s="47"/>
      <c r="BN147" s="134"/>
      <c r="BO147" s="47"/>
      <c r="BP147" s="134"/>
      <c r="BQ147" s="47"/>
      <c r="BR147" s="134"/>
      <c r="BS147" s="47"/>
      <c r="BT147" s="134"/>
      <c r="BU147" s="47"/>
      <c r="BV147" s="134"/>
      <c r="BW147" s="47"/>
      <c r="BX147" s="134"/>
      <c r="BY147" s="47"/>
      <c r="BZ147" s="134"/>
      <c r="CA147" s="47"/>
      <c r="CB147" s="120"/>
      <c r="CC147" s="120"/>
      <c r="CD147" s="120"/>
      <c r="CE147" s="120"/>
      <c r="CF147" s="120"/>
      <c r="CG147" s="120"/>
      <c r="CH147" s="120"/>
      <c r="CI147" s="120"/>
      <c r="CJ147" s="120"/>
      <c r="CK147" s="179">
        <f t="shared" si="104"/>
        <v>146</v>
      </c>
      <c r="CL147" s="50" t="str">
        <f ca="1">IF(AND(currentdestiny&gt;=0,permittedbens&gt;0),"Tables!"&amp;ADDRESS(2,COLUMN())&amp;":"&amp;ADDRESS(1+CL1,COLUMN()),nonerange)</f>
        <v>Tables!$CL$2:$CL$66</v>
      </c>
      <c r="CM147" s="36">
        <f t="shared" si="119"/>
        <v>146</v>
      </c>
      <c r="CN147" s="50" t="str">
        <f ca="1">IF(AND(currentdestiny&gt;=0,permittedbens&gt;1),"Tables!"&amp;ADDRESS(2,COLUMN())&amp;":"&amp;ADDRESS(1+CN1,COLUMN()),nonerange)</f>
        <v>Tables!$CN$2:$CN$66</v>
      </c>
      <c r="CO147" s="36">
        <f t="shared" si="120"/>
        <v>146</v>
      </c>
      <c r="CP147" s="50" t="str">
        <f ca="1">IF(AND(currentdestiny&gt;=0,permittedbens&gt;2),"Tables!"&amp;ADDRESS(2,COLUMN())&amp;":"&amp;ADDRESS(1+CP1,COLUMN()),nonerange)</f>
        <v>Tables!$CP$2:$CP$66</v>
      </c>
      <c r="CS147" s="28">
        <f t="shared" si="106"/>
        <v>146</v>
      </c>
      <c r="CT147" s="50" t="str">
        <f ca="1">IF(AND(qualityfull=0,CT157=0),nonerange,"Tables!"&amp;ADDRESS(2,COLUMN())&amp;":"&amp;ADDRESS(1+CT1,COLUMN()))</f>
        <v>Tables!$CT$2:$CT$65</v>
      </c>
      <c r="CU147" s="28">
        <f t="shared" si="108"/>
        <v>146</v>
      </c>
      <c r="CV147" s="50" t="str">
        <f>IF(OR(AND(qualityfull=0,CV157=0),CT157=0),nonerange,"Tables!"&amp;ADDRESS(2,COLUMN())&amp;":"&amp;ADDRESS(1+CV1,COLUMN()))</f>
        <v>Tables!$DE$2</v>
      </c>
      <c r="CW147" s="28">
        <f t="shared" si="110"/>
        <v>146</v>
      </c>
      <c r="CX147" s="50" t="str">
        <f>IF(OR(AND(qualityfull=0,CX157=0),CV157=0),nonerange,"Tables!"&amp;ADDRESS(2,COLUMN())&amp;":"&amp;ADDRESS(1+CX1,COLUMN()))</f>
        <v>Tables!$DE$2</v>
      </c>
      <c r="CY147" s="28">
        <f t="shared" si="112"/>
        <v>146</v>
      </c>
      <c r="CZ147" s="50" t="str">
        <f>IF(OR(AND(qualityfull=0,CZ157=0),CX157=0),nonerange,"Tables!"&amp;ADDRESS(2,COLUMN())&amp;":"&amp;ADDRESS(1+CZ1,COLUMN()))</f>
        <v>Tables!$DE$2</v>
      </c>
      <c r="DA147" s="28">
        <f t="shared" si="113"/>
        <v>146</v>
      </c>
      <c r="DB147" s="50" t="str">
        <f>IF(OR(AND(qualityfull=0,DB157=0),CZ157=0),nonerange,"Tables!"&amp;ADDRESS(2,COLUMN())&amp;":"&amp;ADDRESS(1+DB1,COLUMN()))</f>
        <v>Tables!$DE$2</v>
      </c>
      <c r="DC147" s="28">
        <f t="shared" si="115"/>
        <v>146</v>
      </c>
      <c r="DD147" s="50" t="str">
        <f>IF(OR(AND(qualityfull=0,DD157=0),DB157=0),nonerange,"Tables!"&amp;ADDRESS(2,COLUMN())&amp;":"&amp;ADDRESS(1+DD1,COLUMN()))</f>
        <v>Tables!$DE$2</v>
      </c>
      <c r="DN147" s="32">
        <v>146</v>
      </c>
      <c r="DO147" s="34" t="s">
        <v>664</v>
      </c>
      <c r="DP147" s="38">
        <f t="shared" si="126"/>
        <v>0</v>
      </c>
      <c r="DQ147" s="173" t="str">
        <f t="shared" si="122"/>
        <v>(Dece) 0</v>
      </c>
      <c r="DR147" s="36" t="str">
        <f t="shared" si="123"/>
        <v/>
      </c>
      <c r="DV147" s="176">
        <f t="shared" si="117"/>
        <v>0</v>
      </c>
      <c r="DW147" s="243">
        <f>IF(COUNTIF('Char Sheet p1'!$AP$7:$AP$35,DQ147)=0,0,ROUNDDOWN(SUMIF('Char Sheet p1'!$AP$7:$AP$35,DQ147,'Char Sheet p1'!$AQ$7:$AQ$35)/10,0))</f>
        <v>0</v>
      </c>
      <c r="DX147" s="240">
        <f t="shared" si="124"/>
        <v>0</v>
      </c>
      <c r="DY147" s="36">
        <f t="shared" si="128"/>
        <v>16</v>
      </c>
      <c r="DZ147" s="36" t="str">
        <f t="shared" si="118"/>
        <v/>
      </c>
      <c r="EE147" s="36">
        <f t="shared" si="127"/>
        <v>3</v>
      </c>
    </row>
    <row r="148" spans="31:135">
      <c r="AG148" s="32" t="s">
        <v>860</v>
      </c>
      <c r="AH148" s="34" t="s">
        <v>880</v>
      </c>
      <c r="AI148" s="34" t="s">
        <v>937</v>
      </c>
      <c r="AJ148" s="31"/>
      <c r="AK148" s="31"/>
      <c r="AL148" s="31" t="str">
        <f t="shared" si="103"/>
        <v/>
      </c>
      <c r="AM148" s="31">
        <f ca="1">N(AND(marksmanship&gt;6,SUMIF(marspec,"Bows",marspecval)&gt;4))</f>
        <v>0</v>
      </c>
      <c r="AN148" s="31">
        <f t="shared" si="125"/>
        <v>147</v>
      </c>
      <c r="AO148" s="35" t="s">
        <v>163</v>
      </c>
      <c r="AP148" s="134"/>
      <c r="AQ148" s="47"/>
      <c r="AR148" s="134"/>
      <c r="AS148" s="47"/>
      <c r="AT148" s="134"/>
      <c r="AU148" s="47"/>
      <c r="AV148" s="134"/>
      <c r="AW148" s="47"/>
      <c r="AX148" s="134"/>
      <c r="AY148" s="47"/>
      <c r="AZ148" s="134"/>
      <c r="BA148" s="47"/>
      <c r="BB148" s="134"/>
      <c r="BC148" s="47"/>
      <c r="BD148" s="134"/>
      <c r="BE148" s="47"/>
      <c r="BF148" s="134"/>
      <c r="BG148" s="47"/>
      <c r="BH148" s="134"/>
      <c r="BI148" s="47"/>
      <c r="BJ148" s="134"/>
      <c r="BK148" s="47"/>
      <c r="BL148" s="134"/>
      <c r="BM148" s="47"/>
      <c r="BN148" s="134"/>
      <c r="BO148" s="47"/>
      <c r="BP148" s="134"/>
      <c r="BQ148" s="47"/>
      <c r="BR148" s="134"/>
      <c r="BS148" s="47"/>
      <c r="BT148" s="134"/>
      <c r="BU148" s="47"/>
      <c r="BV148" s="134"/>
      <c r="BW148" s="47"/>
      <c r="BX148" s="134"/>
      <c r="BY148" s="47"/>
      <c r="BZ148" s="134"/>
      <c r="CA148" s="47"/>
      <c r="CB148" s="120"/>
      <c r="CC148" s="120"/>
      <c r="CD148" s="120"/>
      <c r="CE148" s="120"/>
      <c r="CF148" s="120"/>
      <c r="CG148" s="120"/>
      <c r="CH148" s="120"/>
      <c r="CI148" s="120"/>
      <c r="CJ148" s="120"/>
      <c r="CK148" s="179" t="str">
        <f ca="1">IF(OR(AM148=0,AND(COUNTIF($CL$148:$CL$153,AG148)&gt;0,AJ148&lt;&gt;"y")),"",AN148)</f>
        <v/>
      </c>
      <c r="CL148" s="52"/>
      <c r="CM148" s="36" t="str">
        <f t="shared" ca="1" si="119"/>
        <v/>
      </c>
      <c r="CN148" s="52" t="str">
        <f>CharGen!$D$38</f>
        <v>Acrobatic Defence</v>
      </c>
      <c r="CO148" s="36" t="str">
        <f t="shared" ca="1" si="120"/>
        <v/>
      </c>
      <c r="CP148" s="52" t="str">
        <f>CharGen!$D$38</f>
        <v>Acrobatic Defence</v>
      </c>
      <c r="CS148" s="28" t="str">
        <f t="shared" ca="1" si="106"/>
        <v/>
      </c>
      <c r="CT148" s="52" t="str">
        <f>CharGen!$D$38</f>
        <v>Acrobatic Defence</v>
      </c>
      <c r="CU148" s="28" t="str">
        <f t="shared" ca="1" si="108"/>
        <v/>
      </c>
      <c r="CV148" s="52" t="str">
        <f>CharGen!$D$38</f>
        <v>Acrobatic Defence</v>
      </c>
      <c r="CW148" s="28" t="str">
        <f t="shared" ca="1" si="110"/>
        <v/>
      </c>
      <c r="CX148" s="52" t="str">
        <f>CharGen!$D$38</f>
        <v>Acrobatic Defence</v>
      </c>
      <c r="CY148" s="28" t="str">
        <f t="shared" ca="1" si="112"/>
        <v/>
      </c>
      <c r="CZ148" s="52" t="str">
        <f>CharGen!$D$38</f>
        <v>Acrobatic Defence</v>
      </c>
      <c r="DA148" s="28" t="str">
        <f t="shared" ca="1" si="113"/>
        <v/>
      </c>
      <c r="DB148" s="52" t="str">
        <f>CharGen!$D$38</f>
        <v>Acrobatic Defence</v>
      </c>
      <c r="DC148" s="28" t="str">
        <f t="shared" ca="1" si="115"/>
        <v/>
      </c>
      <c r="DD148" s="52" t="str">
        <f>CharGen!$D$38</f>
        <v>Acrobatic Defence</v>
      </c>
      <c r="DN148" s="32">
        <v>147</v>
      </c>
      <c r="DO148" s="34" t="s">
        <v>664</v>
      </c>
      <c r="DP148" s="38">
        <f t="shared" si="126"/>
        <v>0</v>
      </c>
      <c r="DQ148" s="173" t="str">
        <f t="shared" si="122"/>
        <v>(Dece) 0</v>
      </c>
      <c r="DR148" s="36" t="str">
        <f t="shared" si="123"/>
        <v/>
      </c>
      <c r="DV148" s="176">
        <f t="shared" si="117"/>
        <v>0</v>
      </c>
      <c r="DW148" s="243">
        <f>IF(COUNTIF('Char Sheet p1'!$AP$7:$AP$35,DQ148)=0,0,ROUNDDOWN(SUMIF('Char Sheet p1'!$AP$7:$AP$35,DQ148,'Char Sheet p1'!$AQ$7:$AQ$35)/10,0))</f>
        <v>0</v>
      </c>
      <c r="DX148" s="240">
        <f t="shared" si="124"/>
        <v>0</v>
      </c>
      <c r="DY148" s="36">
        <f t="shared" si="128"/>
        <v>17</v>
      </c>
      <c r="DZ148" s="36" t="str">
        <f t="shared" si="118"/>
        <v/>
      </c>
      <c r="EE148" s="36">
        <f t="shared" si="127"/>
        <v>3</v>
      </c>
    </row>
    <row r="149" spans="31:135">
      <c r="AG149" s="32" t="s">
        <v>825</v>
      </c>
      <c r="AH149" s="34" t="s">
        <v>789</v>
      </c>
      <c r="AI149" s="34"/>
      <c r="AJ149" s="31"/>
      <c r="AK149" s="31"/>
      <c r="AL149" s="31" t="str">
        <f t="shared" si="103"/>
        <v/>
      </c>
      <c r="AM149" s="31">
        <v>1</v>
      </c>
      <c r="AN149" s="31">
        <f t="shared" si="125"/>
        <v>148</v>
      </c>
      <c r="AO149" s="35" t="s">
        <v>164</v>
      </c>
      <c r="AP149" s="134"/>
      <c r="AQ149" s="47"/>
      <c r="AR149" s="134"/>
      <c r="AS149" s="47"/>
      <c r="AT149" s="134"/>
      <c r="AU149" s="47"/>
      <c r="AV149" s="134"/>
      <c r="AW149" s="47"/>
      <c r="AX149" s="134"/>
      <c r="AY149" s="47"/>
      <c r="AZ149" s="134"/>
      <c r="BA149" s="47"/>
      <c r="BB149" s="134"/>
      <c r="BC149" s="47"/>
      <c r="BD149" s="134"/>
      <c r="BE149" s="47"/>
      <c r="BF149" s="134"/>
      <c r="BG149" s="47"/>
      <c r="BH149" s="134"/>
      <c r="BI149" s="47"/>
      <c r="BJ149" s="134"/>
      <c r="BK149" s="47"/>
      <c r="BL149" s="134"/>
      <c r="BM149" s="47"/>
      <c r="BN149" s="134"/>
      <c r="BO149" s="47"/>
      <c r="BP149" s="134"/>
      <c r="BQ149" s="47"/>
      <c r="BR149" s="134"/>
      <c r="BS149" s="47"/>
      <c r="BT149" s="134"/>
      <c r="BU149" s="47"/>
      <c r="BV149" s="134"/>
      <c r="BW149" s="47"/>
      <c r="BX149" s="134"/>
      <c r="BY149" s="47"/>
      <c r="BZ149" s="134"/>
      <c r="CA149" s="47"/>
      <c r="CB149" s="120"/>
      <c r="CC149" s="120"/>
      <c r="CD149" s="120"/>
      <c r="CE149" s="120"/>
      <c r="CF149" s="120"/>
      <c r="CG149" s="120"/>
      <c r="CH149" s="120"/>
      <c r="CI149" s="120"/>
      <c r="CJ149" s="120"/>
      <c r="CK149" s="179">
        <f t="shared" ref="CK149:CK212" si="129">IF(OR(AM149=0,AND(COUNTIF($CL$148:$CL$153,AG149)&gt;0,AJ149&lt;&gt;"y")),"",AN149)</f>
        <v>148</v>
      </c>
      <c r="CL149" s="52" t="str">
        <f>CharGen!$D$39</f>
        <v>Night Eyes</v>
      </c>
      <c r="CM149" s="36">
        <f t="shared" si="119"/>
        <v>148</v>
      </c>
      <c r="CN149" s="52"/>
      <c r="CO149" s="36">
        <f t="shared" si="120"/>
        <v>148</v>
      </c>
      <c r="CP149" s="52" t="str">
        <f>CharGen!$D$39</f>
        <v>Night Eyes</v>
      </c>
      <c r="CS149" s="28">
        <f t="shared" ref="CS149:CU212" si="130">IF(OR($AM149=0,AND(COUNTIF(CT$148:CT$156,$AG149)&gt;0,$AJ149&lt;&gt;"y")),"",$AN149)</f>
        <v>148</v>
      </c>
      <c r="CT149" s="52" t="str">
        <f>CharGen!$D$39</f>
        <v>Night Eyes</v>
      </c>
      <c r="CU149" s="28">
        <f t="shared" si="130"/>
        <v>148</v>
      </c>
      <c r="CV149" s="52" t="str">
        <f>CharGen!$D$39</f>
        <v>Night Eyes</v>
      </c>
      <c r="CW149" s="28">
        <f t="shared" si="110"/>
        <v>148</v>
      </c>
      <c r="CX149" s="52" t="str">
        <f>CharGen!$D$39</f>
        <v>Night Eyes</v>
      </c>
      <c r="CY149" s="28">
        <f t="shared" si="112"/>
        <v>148</v>
      </c>
      <c r="CZ149" s="52" t="str">
        <f>CharGen!$D$39</f>
        <v>Night Eyes</v>
      </c>
      <c r="DA149" s="28">
        <f t="shared" si="113"/>
        <v>148</v>
      </c>
      <c r="DB149" s="52" t="str">
        <f>CharGen!$D$39</f>
        <v>Night Eyes</v>
      </c>
      <c r="DC149" s="28">
        <f t="shared" si="115"/>
        <v>148</v>
      </c>
      <c r="DD149" s="52" t="str">
        <f>CharGen!$D$39</f>
        <v>Night Eyes</v>
      </c>
      <c r="DN149" s="32">
        <v>148</v>
      </c>
      <c r="DO149" s="34" t="s">
        <v>664</v>
      </c>
      <c r="DP149" s="38">
        <f t="shared" si="126"/>
        <v>0</v>
      </c>
      <c r="DQ149" s="173" t="str">
        <f t="shared" si="122"/>
        <v>(Dece) 0</v>
      </c>
      <c r="DR149" s="36" t="str">
        <f t="shared" si="123"/>
        <v/>
      </c>
      <c r="DV149" s="176">
        <f t="shared" si="117"/>
        <v>0</v>
      </c>
      <c r="DW149" s="243">
        <f>IF(COUNTIF('Char Sheet p1'!$AP$7:$AP$35,DQ149)=0,0,ROUNDDOWN(SUMIF('Char Sheet p1'!$AP$7:$AP$35,DQ149,'Char Sheet p1'!$AQ$7:$AQ$35)/10,0))</f>
        <v>0</v>
      </c>
      <c r="DX149" s="240">
        <f t="shared" si="124"/>
        <v>0</v>
      </c>
      <c r="DY149" s="36">
        <f t="shared" si="128"/>
        <v>18</v>
      </c>
      <c r="DZ149" s="36" t="str">
        <f t="shared" si="118"/>
        <v/>
      </c>
      <c r="EE149" s="36">
        <f t="shared" si="127"/>
        <v>3</v>
      </c>
    </row>
    <row r="150" spans="31:135">
      <c r="AG150" s="32" t="s">
        <v>861</v>
      </c>
      <c r="AH150" s="34" t="s">
        <v>880</v>
      </c>
      <c r="AI150" s="34" t="s">
        <v>938</v>
      </c>
      <c r="AJ150" s="31"/>
      <c r="AK150" s="31"/>
      <c r="AL150" s="31" t="str">
        <f t="shared" si="103"/>
        <v/>
      </c>
      <c r="AM150" s="31">
        <f ca="1">N(AND(fighting&gt;2,SUMIF(figspec,"Fencing",figspecval)&gt;0))</f>
        <v>0</v>
      </c>
      <c r="AN150" s="31">
        <f t="shared" si="125"/>
        <v>149</v>
      </c>
      <c r="AO150" s="35" t="s">
        <v>165</v>
      </c>
      <c r="AP150" s="134"/>
      <c r="AQ150" s="47"/>
      <c r="AR150" s="134"/>
      <c r="AS150" s="47"/>
      <c r="AT150" s="134"/>
      <c r="AU150" s="47"/>
      <c r="AV150" s="134"/>
      <c r="AW150" s="47">
        <f>fighting</f>
        <v>3</v>
      </c>
      <c r="AX150" s="134"/>
      <c r="AY150" s="47"/>
      <c r="AZ150" s="134"/>
      <c r="BA150" s="47"/>
      <c r="BB150" s="134"/>
      <c r="BC150" s="47"/>
      <c r="BD150" s="134"/>
      <c r="BE150" s="47"/>
      <c r="BF150" s="134"/>
      <c r="BG150" s="47"/>
      <c r="BH150" s="134"/>
      <c r="BI150" s="47"/>
      <c r="BJ150" s="134"/>
      <c r="BK150" s="47"/>
      <c r="BL150" s="134"/>
      <c r="BM150" s="47"/>
      <c r="BN150" s="134"/>
      <c r="BO150" s="47"/>
      <c r="BP150" s="134"/>
      <c r="BQ150" s="47"/>
      <c r="BR150" s="134"/>
      <c r="BS150" s="47"/>
      <c r="BT150" s="134"/>
      <c r="BU150" s="47"/>
      <c r="BV150" s="134"/>
      <c r="BW150" s="47"/>
      <c r="BX150" s="134"/>
      <c r="BY150" s="47"/>
      <c r="BZ150" s="134"/>
      <c r="CA150" s="47"/>
      <c r="CB150" s="66">
        <f>fighting</f>
        <v>3</v>
      </c>
      <c r="CC150" s="120"/>
      <c r="CD150" s="120"/>
      <c r="CE150" s="120"/>
      <c r="CF150" s="120"/>
      <c r="CG150" s="120"/>
      <c r="CH150" s="120"/>
      <c r="CI150" s="120"/>
      <c r="CJ150" s="120"/>
      <c r="CK150" s="179" t="str">
        <f t="shared" ca="1" si="129"/>
        <v/>
      </c>
      <c r="CL150" s="52" t="str">
        <f>CharGen!$D$41</f>
        <v>Furtive</v>
      </c>
      <c r="CM150" s="36" t="str">
        <f t="shared" ca="1" si="119"/>
        <v/>
      </c>
      <c r="CN150" s="52" t="str">
        <f>CharGen!$D$41</f>
        <v>Furtive</v>
      </c>
      <c r="CO150" s="36" t="str">
        <f t="shared" ca="1" si="120"/>
        <v/>
      </c>
      <c r="CP150" s="52"/>
      <c r="CS150" s="28" t="str">
        <f t="shared" ca="1" si="130"/>
        <v/>
      </c>
      <c r="CT150" s="307" t="str">
        <f>CharGen!$D$41</f>
        <v>Furtive</v>
      </c>
      <c r="CU150" s="28" t="str">
        <f t="shared" ca="1" si="130"/>
        <v/>
      </c>
      <c r="CV150" s="307" t="str">
        <f>CharGen!$D$41</f>
        <v>Furtive</v>
      </c>
      <c r="CW150" s="28" t="str">
        <f t="shared" ca="1" si="110"/>
        <v/>
      </c>
      <c r="CX150" s="307" t="str">
        <f>CharGen!$D$41</f>
        <v>Furtive</v>
      </c>
      <c r="CY150" s="28" t="str">
        <f t="shared" ca="1" si="112"/>
        <v/>
      </c>
      <c r="CZ150" s="307" t="str">
        <f>CharGen!$D$41</f>
        <v>Furtive</v>
      </c>
      <c r="DA150" s="28" t="str">
        <f t="shared" ca="1" si="113"/>
        <v/>
      </c>
      <c r="DB150" s="307" t="str">
        <f>CharGen!$D$41</f>
        <v>Furtive</v>
      </c>
      <c r="DC150" s="28" t="str">
        <f t="shared" ca="1" si="115"/>
        <v/>
      </c>
      <c r="DD150" s="307" t="str">
        <f>CharGen!$D$41</f>
        <v>Furtive</v>
      </c>
      <c r="DN150" s="32">
        <v>149</v>
      </c>
      <c r="DO150" s="34" t="s">
        <v>664</v>
      </c>
      <c r="DP150" s="38">
        <f t="shared" si="126"/>
        <v>0</v>
      </c>
      <c r="DQ150" s="173" t="str">
        <f t="shared" si="122"/>
        <v>(Dece) 0</v>
      </c>
      <c r="DR150" s="36" t="str">
        <f t="shared" si="123"/>
        <v/>
      </c>
      <c r="DV150" s="176">
        <f t="shared" si="117"/>
        <v>0</v>
      </c>
      <c r="DW150" s="243">
        <f>IF(COUNTIF('Char Sheet p1'!$AP$7:$AP$35,DQ150)=0,0,ROUNDDOWN(SUMIF('Char Sheet p1'!$AP$7:$AP$35,DQ150,'Char Sheet p1'!$AQ$7:$AQ$35)/10,0))</f>
        <v>0</v>
      </c>
      <c r="DX150" s="240">
        <f t="shared" si="124"/>
        <v>0</v>
      </c>
      <c r="DY150" s="36">
        <f t="shared" si="128"/>
        <v>19</v>
      </c>
      <c r="DZ150" s="36" t="str">
        <f t="shared" si="118"/>
        <v/>
      </c>
      <c r="EE150" s="36">
        <f t="shared" si="127"/>
        <v>3</v>
      </c>
    </row>
    <row r="151" spans="31:135">
      <c r="AG151" s="32" t="s">
        <v>905</v>
      </c>
      <c r="AH151" s="34" t="s">
        <v>880</v>
      </c>
      <c r="AI151" s="34" t="s">
        <v>861</v>
      </c>
      <c r="AJ151" s="31"/>
      <c r="AK151" s="31"/>
      <c r="AL151" s="31" t="str">
        <f t="shared" si="103"/>
        <v/>
      </c>
      <c r="AM151" s="31">
        <f>COUNTIF(qualities,"Water Dancer I")</f>
        <v>0</v>
      </c>
      <c r="AN151" s="31">
        <f t="shared" si="125"/>
        <v>150</v>
      </c>
      <c r="AO151" s="35" t="s">
        <v>166</v>
      </c>
      <c r="AP151" s="134"/>
      <c r="AQ151" s="47">
        <f>fighting</f>
        <v>3</v>
      </c>
      <c r="AR151" s="134"/>
      <c r="AS151" s="47"/>
      <c r="AT151" s="134"/>
      <c r="AU151" s="47"/>
      <c r="AV151" s="134"/>
      <c r="AW151" s="47"/>
      <c r="AX151" s="134"/>
      <c r="AY151" s="47"/>
      <c r="AZ151" s="134"/>
      <c r="BA151" s="47"/>
      <c r="BB151" s="134"/>
      <c r="BC151" s="47"/>
      <c r="BD151" s="134"/>
      <c r="BE151" s="47"/>
      <c r="BF151" s="134"/>
      <c r="BG151" s="47"/>
      <c r="BH151" s="134"/>
      <c r="BI151" s="47"/>
      <c r="BJ151" s="134"/>
      <c r="BK151" s="47"/>
      <c r="BL151" s="134"/>
      <c r="BM151" s="47"/>
      <c r="BN151" s="134"/>
      <c r="BO151" s="47"/>
      <c r="BP151" s="134"/>
      <c r="BQ151" s="47"/>
      <c r="BR151" s="134"/>
      <c r="BS151" s="47"/>
      <c r="BT151" s="134"/>
      <c r="BU151" s="47"/>
      <c r="BV151" s="134"/>
      <c r="BW151" s="47"/>
      <c r="BX151" s="134"/>
      <c r="BY151" s="47"/>
      <c r="BZ151" s="134"/>
      <c r="CA151" s="47"/>
      <c r="CB151" s="120"/>
      <c r="CC151" s="120"/>
      <c r="CD151" s="120"/>
      <c r="CE151" s="120"/>
      <c r="CF151" s="120"/>
      <c r="CG151" s="120"/>
      <c r="CH151" s="120"/>
      <c r="CI151" s="120"/>
      <c r="CJ151" s="120"/>
      <c r="CK151" s="179" t="str">
        <f t="shared" si="129"/>
        <v/>
      </c>
      <c r="CL151" s="52"/>
      <c r="CM151" s="36" t="str">
        <f t="shared" si="119"/>
        <v/>
      </c>
      <c r="CN151" s="52"/>
      <c r="CO151" s="36" t="str">
        <f t="shared" si="120"/>
        <v/>
      </c>
      <c r="CP151" s="52"/>
      <c r="CS151" s="28" t="str">
        <f t="shared" si="130"/>
        <v/>
      </c>
      <c r="CT151" s="89"/>
      <c r="CU151" s="28" t="str">
        <f t="shared" si="130"/>
        <v/>
      </c>
      <c r="CV151" s="89">
        <f>'Char Sheet p1'!$AM$39</f>
        <v>0</v>
      </c>
      <c r="CW151" s="28" t="str">
        <f t="shared" si="110"/>
        <v/>
      </c>
      <c r="CX151" s="89">
        <f>'Char Sheet p1'!$AM$39</f>
        <v>0</v>
      </c>
      <c r="CY151" s="28" t="str">
        <f t="shared" si="112"/>
        <v/>
      </c>
      <c r="CZ151" s="89">
        <f>'Char Sheet p1'!$AM$39</f>
        <v>0</v>
      </c>
      <c r="DA151" s="28" t="str">
        <f t="shared" si="113"/>
        <v/>
      </c>
      <c r="DB151" s="89">
        <f>'Char Sheet p1'!$AM$39</f>
        <v>0</v>
      </c>
      <c r="DC151" s="28" t="str">
        <f t="shared" si="115"/>
        <v/>
      </c>
      <c r="DD151" s="89">
        <f>'Char Sheet p1'!$AM$39</f>
        <v>0</v>
      </c>
      <c r="DN151" s="32">
        <v>150</v>
      </c>
      <c r="DO151" s="34" t="s">
        <v>664</v>
      </c>
      <c r="DP151" s="38">
        <f t="shared" si="126"/>
        <v>0</v>
      </c>
      <c r="DQ151" s="173" t="str">
        <f t="shared" si="122"/>
        <v>(Dece) 0</v>
      </c>
      <c r="DR151" s="36" t="str">
        <f t="shared" si="123"/>
        <v/>
      </c>
      <c r="DV151" s="176">
        <f t="shared" si="117"/>
        <v>0</v>
      </c>
      <c r="DW151" s="243">
        <f>IF(COUNTIF('Char Sheet p1'!$AP$7:$AP$35,DQ151)=0,0,ROUNDDOWN(SUMIF('Char Sheet p1'!$AP$7:$AP$35,DQ151,'Char Sheet p1'!$AQ$7:$AQ$35)/10,0))</f>
        <v>0</v>
      </c>
      <c r="DX151" s="240">
        <f t="shared" si="124"/>
        <v>0</v>
      </c>
      <c r="DY151" s="36">
        <f t="shared" si="128"/>
        <v>20</v>
      </c>
      <c r="DZ151" s="36" t="str">
        <f t="shared" si="118"/>
        <v/>
      </c>
      <c r="EE151" s="36">
        <f t="shared" si="127"/>
        <v>3</v>
      </c>
    </row>
    <row r="152" spans="31:135">
      <c r="AG152" s="32" t="s">
        <v>906</v>
      </c>
      <c r="AH152" s="34" t="s">
        <v>880</v>
      </c>
      <c r="AI152" s="34" t="s">
        <v>905</v>
      </c>
      <c r="AJ152" s="31"/>
      <c r="AK152" s="31"/>
      <c r="AL152" s="31" t="str">
        <f t="shared" si="103"/>
        <v/>
      </c>
      <c r="AM152" s="31">
        <f>COUNTIF(qualities,"Water Dancer II")</f>
        <v>0</v>
      </c>
      <c r="AN152" s="31">
        <f t="shared" si="125"/>
        <v>151</v>
      </c>
      <c r="AO152" s="35" t="s">
        <v>167</v>
      </c>
      <c r="AP152" s="134"/>
      <c r="AQ152" s="47"/>
      <c r="AR152" s="134"/>
      <c r="AS152" s="47"/>
      <c r="AT152" s="134"/>
      <c r="AU152" s="47"/>
      <c r="AV152" s="134"/>
      <c r="AW152" s="47"/>
      <c r="AX152" s="134"/>
      <c r="AY152" s="47"/>
      <c r="AZ152" s="134"/>
      <c r="BA152" s="47"/>
      <c r="BB152" s="134"/>
      <c r="BC152" s="47"/>
      <c r="BD152" s="134"/>
      <c r="BE152" s="47"/>
      <c r="BF152" s="134"/>
      <c r="BG152" s="47"/>
      <c r="BH152" s="134"/>
      <c r="BI152" s="47"/>
      <c r="BJ152" s="134"/>
      <c r="BK152" s="47"/>
      <c r="BL152" s="134"/>
      <c r="BM152" s="47"/>
      <c r="BN152" s="134"/>
      <c r="BO152" s="47"/>
      <c r="BP152" s="134"/>
      <c r="BQ152" s="47"/>
      <c r="BR152" s="134"/>
      <c r="BS152" s="47"/>
      <c r="BT152" s="134"/>
      <c r="BU152" s="47"/>
      <c r="BV152" s="134"/>
      <c r="BW152" s="47"/>
      <c r="BX152" s="134"/>
      <c r="BY152" s="47"/>
      <c r="BZ152" s="134"/>
      <c r="CA152" s="47"/>
      <c r="CB152" s="120"/>
      <c r="CC152" s="120"/>
      <c r="CD152" s="120"/>
      <c r="CE152" s="120">
        <f ca="1">IF(bulk=0,SUMIF(CharGen!N30:Q31,"Fencing",CharGen!L30:M31))</f>
        <v>0</v>
      </c>
      <c r="CF152" s="120"/>
      <c r="CG152" s="120"/>
      <c r="CH152" s="120"/>
      <c r="CI152" s="120"/>
      <c r="CJ152" s="120"/>
      <c r="CK152" s="179" t="str">
        <f t="shared" si="129"/>
        <v/>
      </c>
      <c r="CL152" s="52"/>
      <c r="CM152" s="36" t="str">
        <f t="shared" si="119"/>
        <v/>
      </c>
      <c r="CN152" s="52"/>
      <c r="CO152" s="36" t="str">
        <f t="shared" si="120"/>
        <v/>
      </c>
      <c r="CP152" s="52"/>
      <c r="CS152" s="28" t="str">
        <f t="shared" si="130"/>
        <v/>
      </c>
      <c r="CT152" s="52">
        <f>'Char Sheet p1'!$AM$41</f>
        <v>0</v>
      </c>
      <c r="CU152" s="28" t="str">
        <f t="shared" si="130"/>
        <v/>
      </c>
      <c r="CV152" s="52"/>
      <c r="CW152" s="28" t="str">
        <f t="shared" si="110"/>
        <v/>
      </c>
      <c r="CX152" s="52">
        <f>'Char Sheet p1'!$AM$41</f>
        <v>0</v>
      </c>
      <c r="CY152" s="28" t="str">
        <f t="shared" si="112"/>
        <v/>
      </c>
      <c r="CZ152" s="52">
        <f>'Char Sheet p1'!$AM$41</f>
        <v>0</v>
      </c>
      <c r="DA152" s="28" t="str">
        <f t="shared" si="113"/>
        <v/>
      </c>
      <c r="DB152" s="52">
        <f>'Char Sheet p1'!$AM$41</f>
        <v>0</v>
      </c>
      <c r="DC152" s="28" t="str">
        <f t="shared" si="115"/>
        <v/>
      </c>
      <c r="DD152" s="52">
        <f>'Char Sheet p1'!$AM$41</f>
        <v>0</v>
      </c>
      <c r="DN152" s="32">
        <v>151</v>
      </c>
      <c r="DO152" s="34" t="s">
        <v>664</v>
      </c>
      <c r="DP152" s="38">
        <f t="shared" si="126"/>
        <v>0</v>
      </c>
      <c r="DQ152" s="173" t="str">
        <f t="shared" si="122"/>
        <v>(Dece) 0</v>
      </c>
      <c r="DR152" s="36" t="str">
        <f t="shared" si="123"/>
        <v/>
      </c>
      <c r="DV152" s="176">
        <f t="shared" si="117"/>
        <v>0</v>
      </c>
      <c r="DW152" s="243">
        <f>IF(COUNTIF('Char Sheet p1'!$AP$7:$AP$35,DQ152)=0,0,ROUNDDOWN(SUMIF('Char Sheet p1'!$AP$7:$AP$35,DQ152,'Char Sheet p1'!$AQ$7:$AQ$35)/10,0))</f>
        <v>0</v>
      </c>
      <c r="DX152" s="240">
        <f t="shared" si="124"/>
        <v>0</v>
      </c>
      <c r="DY152" s="36">
        <f t="shared" si="128"/>
        <v>21</v>
      </c>
      <c r="DZ152" s="36" t="str">
        <f t="shared" si="118"/>
        <v/>
      </c>
      <c r="EE152" s="36">
        <f t="shared" si="127"/>
        <v>3</v>
      </c>
    </row>
    <row r="153" spans="31:135">
      <c r="AG153" s="32" t="s">
        <v>826</v>
      </c>
      <c r="AH153" s="34" t="s">
        <v>789</v>
      </c>
      <c r="AI153" s="34"/>
      <c r="AJ153" s="31"/>
      <c r="AK153" s="31"/>
      <c r="AL153" s="31" t="str">
        <f t="shared" si="103"/>
        <v/>
      </c>
      <c r="AM153" s="31">
        <v>1</v>
      </c>
      <c r="AN153" s="31">
        <f t="shared" si="125"/>
        <v>152</v>
      </c>
      <c r="AO153" s="35" t="s">
        <v>168</v>
      </c>
      <c r="AP153" s="134"/>
      <c r="AQ153" s="47"/>
      <c r="AR153" s="134"/>
      <c r="AS153" s="47"/>
      <c r="AT153" s="134"/>
      <c r="AU153" s="47"/>
      <c r="AV153" s="134"/>
      <c r="AW153" s="47"/>
      <c r="AX153" s="134"/>
      <c r="AY153" s="47"/>
      <c r="AZ153" s="134"/>
      <c r="BA153" s="47"/>
      <c r="BB153" s="134"/>
      <c r="BC153" s="47"/>
      <c r="BD153" s="134"/>
      <c r="BE153" s="47"/>
      <c r="BF153" s="134"/>
      <c r="BG153" s="47"/>
      <c r="BH153" s="134"/>
      <c r="BI153" s="47"/>
      <c r="BJ153" s="134"/>
      <c r="BK153" s="47"/>
      <c r="BL153" s="134"/>
      <c r="BM153" s="47"/>
      <c r="BN153" s="134"/>
      <c r="BO153" s="47"/>
      <c r="BP153" s="134"/>
      <c r="BQ153" s="47"/>
      <c r="BR153" s="134"/>
      <c r="BS153" s="47"/>
      <c r="BT153" s="134"/>
      <c r="BU153" s="47"/>
      <c r="BV153" s="134"/>
      <c r="BW153" s="47"/>
      <c r="BX153" s="134"/>
      <c r="BY153" s="47"/>
      <c r="BZ153" s="134"/>
      <c r="CA153" s="47"/>
      <c r="CB153" s="120"/>
      <c r="CC153" s="120"/>
      <c r="CD153" s="120"/>
      <c r="CE153" s="120"/>
      <c r="CF153" s="120"/>
      <c r="CG153" s="120"/>
      <c r="CH153" s="120"/>
      <c r="CI153" s="120"/>
      <c r="CJ153" s="120"/>
      <c r="CK153" s="179">
        <f t="shared" si="129"/>
        <v>152</v>
      </c>
      <c r="CL153" s="74"/>
      <c r="CM153" s="36">
        <f t="shared" si="119"/>
        <v>152</v>
      </c>
      <c r="CN153" s="74"/>
      <c r="CO153" s="36">
        <f t="shared" si="120"/>
        <v>152</v>
      </c>
      <c r="CP153" s="74"/>
      <c r="CS153" s="28">
        <f t="shared" si="130"/>
        <v>152</v>
      </c>
      <c r="CT153" s="52">
        <f>'Char Sheet p1'!$AM$42</f>
        <v>0</v>
      </c>
      <c r="CU153" s="28">
        <f t="shared" si="130"/>
        <v>152</v>
      </c>
      <c r="CV153" s="52">
        <f>'Char Sheet p1'!$AM$42</f>
        <v>0</v>
      </c>
      <c r="CW153" s="28">
        <f t="shared" si="110"/>
        <v>152</v>
      </c>
      <c r="CX153" s="52"/>
      <c r="CY153" s="28">
        <f t="shared" si="112"/>
        <v>152</v>
      </c>
      <c r="CZ153" s="52">
        <f>'Char Sheet p1'!$AM$42</f>
        <v>0</v>
      </c>
      <c r="DA153" s="28">
        <f t="shared" si="113"/>
        <v>152</v>
      </c>
      <c r="DB153" s="52">
        <f>'Char Sheet p1'!$AM$42</f>
        <v>0</v>
      </c>
      <c r="DC153" s="28">
        <f t="shared" si="115"/>
        <v>152</v>
      </c>
      <c r="DD153" s="52">
        <f>'Char Sheet p1'!$AM$42</f>
        <v>0</v>
      </c>
      <c r="DN153" s="32">
        <v>152</v>
      </c>
      <c r="DO153" s="34" t="s">
        <v>664</v>
      </c>
      <c r="DP153" s="38">
        <f t="shared" si="126"/>
        <v>0</v>
      </c>
      <c r="DQ153" s="173" t="str">
        <f t="shared" si="122"/>
        <v>(Dece) 0</v>
      </c>
      <c r="DR153" s="36" t="str">
        <f t="shared" si="123"/>
        <v/>
      </c>
      <c r="DV153" s="176">
        <f t="shared" si="117"/>
        <v>0</v>
      </c>
      <c r="DW153" s="243">
        <f>IF(COUNTIF('Char Sheet p1'!$AP$7:$AP$35,DQ153)=0,0,ROUNDDOWN(SUMIF('Char Sheet p1'!$AP$7:$AP$35,DQ153,'Char Sheet p1'!$AQ$7:$AQ$35)/10,0))</f>
        <v>0</v>
      </c>
      <c r="DX153" s="240">
        <f t="shared" si="124"/>
        <v>0</v>
      </c>
      <c r="DY153" s="36">
        <f t="shared" si="128"/>
        <v>22</v>
      </c>
      <c r="DZ153" s="36" t="str">
        <f t="shared" si="118"/>
        <v/>
      </c>
      <c r="EE153" s="36">
        <f t="shared" si="127"/>
        <v>3</v>
      </c>
    </row>
    <row r="154" spans="31:135">
      <c r="AG154" s="32" t="s">
        <v>862</v>
      </c>
      <c r="AH154" s="34" t="s">
        <v>880</v>
      </c>
      <c r="AI154" s="34"/>
      <c r="AJ154" s="31" t="s">
        <v>970</v>
      </c>
      <c r="AK154" s="31"/>
      <c r="AL154" s="31" t="str">
        <f t="shared" si="103"/>
        <v/>
      </c>
      <c r="AM154" s="31">
        <v>1</v>
      </c>
      <c r="AN154" s="31">
        <f t="shared" si="125"/>
        <v>153</v>
      </c>
      <c r="AO154" s="35" t="s">
        <v>960</v>
      </c>
      <c r="AP154" s="134"/>
      <c r="AQ154" s="47"/>
      <c r="AR154" s="134"/>
      <c r="AS154" s="47"/>
      <c r="AT154" s="134"/>
      <c r="AU154" s="47"/>
      <c r="AV154" s="134"/>
      <c r="AW154" s="47"/>
      <c r="AX154" s="134"/>
      <c r="AY154" s="47"/>
      <c r="AZ154" s="134"/>
      <c r="BA154" s="47"/>
      <c r="BB154" s="134"/>
      <c r="BC154" s="47"/>
      <c r="BD154" s="134"/>
      <c r="BE154" s="47"/>
      <c r="BF154" s="134"/>
      <c r="BG154" s="47"/>
      <c r="BH154" s="134"/>
      <c r="BI154" s="47"/>
      <c r="BJ154" s="134"/>
      <c r="BK154" s="47"/>
      <c r="BL154" s="134"/>
      <c r="BM154" s="47"/>
      <c r="BN154" s="134"/>
      <c r="BO154" s="47"/>
      <c r="BP154" s="134"/>
      <c r="BQ154" s="47"/>
      <c r="BR154" s="134"/>
      <c r="BS154" s="47"/>
      <c r="BT154" s="134"/>
      <c r="BU154" s="47"/>
      <c r="BV154" s="134"/>
      <c r="BW154" s="47"/>
      <c r="BX154" s="134"/>
      <c r="BY154" s="47"/>
      <c r="BZ154" s="134"/>
      <c r="CA154" s="47"/>
      <c r="CB154" s="120"/>
      <c r="CC154" s="120"/>
      <c r="CD154" s="120"/>
      <c r="CE154" s="120"/>
      <c r="CF154" s="120"/>
      <c r="CG154" s="120"/>
      <c r="CH154" s="120"/>
      <c r="CI154" s="120"/>
      <c r="CJ154" s="120"/>
      <c r="CK154" s="179">
        <f t="shared" si="129"/>
        <v>153</v>
      </c>
      <c r="CM154" s="36">
        <f t="shared" si="119"/>
        <v>153</v>
      </c>
      <c r="CO154" s="36">
        <f t="shared" si="120"/>
        <v>153</v>
      </c>
      <c r="CS154" s="28">
        <f t="shared" si="130"/>
        <v>153</v>
      </c>
      <c r="CT154" s="52">
        <f>'Char Sheet p1'!$AM$43</f>
        <v>0</v>
      </c>
      <c r="CU154" s="28">
        <f t="shared" si="130"/>
        <v>153</v>
      </c>
      <c r="CV154" s="52">
        <f>'Char Sheet p1'!$AM$43</f>
        <v>0</v>
      </c>
      <c r="CW154" s="28">
        <f t="shared" si="110"/>
        <v>153</v>
      </c>
      <c r="CX154" s="52">
        <f>'Char Sheet p1'!$AM$43</f>
        <v>0</v>
      </c>
      <c r="CY154" s="28">
        <f t="shared" si="112"/>
        <v>153</v>
      </c>
      <c r="CZ154" s="52"/>
      <c r="DA154" s="28">
        <f t="shared" si="113"/>
        <v>153</v>
      </c>
      <c r="DB154" s="52">
        <f>'Char Sheet p1'!$AM$43</f>
        <v>0</v>
      </c>
      <c r="DC154" s="28">
        <f t="shared" si="115"/>
        <v>153</v>
      </c>
      <c r="DD154" s="52">
        <f>'Char Sheet p1'!$AM$43</f>
        <v>0</v>
      </c>
      <c r="DN154" s="32">
        <v>153</v>
      </c>
      <c r="DO154" s="34" t="s">
        <v>664</v>
      </c>
      <c r="DP154" s="38">
        <f t="shared" si="126"/>
        <v>0</v>
      </c>
      <c r="DQ154" s="173" t="str">
        <f t="shared" si="122"/>
        <v>(Dece) 0</v>
      </c>
      <c r="DR154" s="36" t="str">
        <f t="shared" si="123"/>
        <v/>
      </c>
      <c r="DV154" s="176">
        <f t="shared" si="117"/>
        <v>0</v>
      </c>
      <c r="DW154" s="243">
        <f>IF(COUNTIF('Char Sheet p1'!$AP$7:$AP$35,DQ154)=0,0,ROUNDDOWN(SUMIF('Char Sheet p1'!$AP$7:$AP$35,DQ154,'Char Sheet p1'!$AQ$7:$AQ$35)/10,0))</f>
        <v>0</v>
      </c>
      <c r="DX154" s="240">
        <f t="shared" si="124"/>
        <v>0</v>
      </c>
      <c r="DY154" s="36">
        <f t="shared" si="128"/>
        <v>23</v>
      </c>
      <c r="DZ154" s="36" t="str">
        <f t="shared" si="118"/>
        <v/>
      </c>
      <c r="EE154" s="36">
        <f t="shared" si="127"/>
        <v>3</v>
      </c>
    </row>
    <row r="155" spans="31:135">
      <c r="AG155" s="32" t="s">
        <v>863</v>
      </c>
      <c r="AH155" s="34" t="s">
        <v>880</v>
      </c>
      <c r="AI155" s="34" t="s">
        <v>939</v>
      </c>
      <c r="AJ155" s="31"/>
      <c r="AK155" s="31"/>
      <c r="AL155" s="31" t="str">
        <f t="shared" si="103"/>
        <v/>
      </c>
      <c r="AM155" s="31">
        <f>N(AND(agility&gt;3, cunning&gt;3, fighting&gt;4))</f>
        <v>0</v>
      </c>
      <c r="AN155" s="31">
        <f t="shared" si="125"/>
        <v>154</v>
      </c>
      <c r="AO155" s="35" t="s">
        <v>961</v>
      </c>
      <c r="AP155" s="134"/>
      <c r="AQ155" s="47"/>
      <c r="AR155" s="134"/>
      <c r="AS155" s="47"/>
      <c r="AT155" s="134"/>
      <c r="AU155" s="47"/>
      <c r="AV155" s="134"/>
      <c r="AW155" s="47"/>
      <c r="AX155" s="134"/>
      <c r="AY155" s="47"/>
      <c r="AZ155" s="134"/>
      <c r="BA155" s="47"/>
      <c r="BB155" s="134"/>
      <c r="BC155" s="47"/>
      <c r="BD155" s="134"/>
      <c r="BE155" s="47"/>
      <c r="BF155" s="134"/>
      <c r="BG155" s="47"/>
      <c r="BH155" s="134"/>
      <c r="BI155" s="47"/>
      <c r="BJ155" s="134"/>
      <c r="BK155" s="47"/>
      <c r="BL155" s="134"/>
      <c r="BM155" s="47"/>
      <c r="BN155" s="134"/>
      <c r="BO155" s="47"/>
      <c r="BP155" s="134"/>
      <c r="BQ155" s="47"/>
      <c r="BR155" s="134"/>
      <c r="BS155" s="47"/>
      <c r="BT155" s="134"/>
      <c r="BU155" s="47"/>
      <c r="BV155" s="134"/>
      <c r="BW155" s="47"/>
      <c r="BX155" s="134"/>
      <c r="BY155" s="47"/>
      <c r="BZ155" s="134"/>
      <c r="CA155" s="47"/>
      <c r="CB155" s="120"/>
      <c r="CC155" s="120"/>
      <c r="CD155" s="120"/>
      <c r="CE155" s="120"/>
      <c r="CF155" s="120"/>
      <c r="CG155" s="120"/>
      <c r="CH155" s="120"/>
      <c r="CI155" s="120"/>
      <c r="CJ155" s="120"/>
      <c r="CK155" s="179" t="str">
        <f t="shared" si="129"/>
        <v/>
      </c>
      <c r="CM155" s="36" t="str">
        <f t="shared" si="119"/>
        <v/>
      </c>
      <c r="CO155" s="36" t="str">
        <f t="shared" si="120"/>
        <v/>
      </c>
      <c r="CS155" s="28" t="str">
        <f t="shared" si="130"/>
        <v/>
      </c>
      <c r="CT155" s="52">
        <f>'Char Sheet p1'!$AM$44</f>
        <v>0</v>
      </c>
      <c r="CU155" s="28" t="str">
        <f t="shared" si="130"/>
        <v/>
      </c>
      <c r="CV155" s="52">
        <f>'Char Sheet p1'!$AM$44</f>
        <v>0</v>
      </c>
      <c r="CW155" s="28" t="str">
        <f t="shared" si="110"/>
        <v/>
      </c>
      <c r="CX155" s="52">
        <f>'Char Sheet p1'!$AM$44</f>
        <v>0</v>
      </c>
      <c r="CY155" s="28" t="str">
        <f t="shared" si="112"/>
        <v/>
      </c>
      <c r="CZ155" s="52">
        <f>'Char Sheet p1'!$AM$44</f>
        <v>0</v>
      </c>
      <c r="DA155" s="28" t="str">
        <f t="shared" si="113"/>
        <v/>
      </c>
      <c r="DB155" s="52"/>
      <c r="DC155" s="28" t="str">
        <f t="shared" si="115"/>
        <v/>
      </c>
      <c r="DD155" s="52">
        <f>'Char Sheet p1'!$AM$44</f>
        <v>0</v>
      </c>
      <c r="DN155" s="32">
        <v>154</v>
      </c>
      <c r="DO155" s="34" t="s">
        <v>664</v>
      </c>
      <c r="DP155" s="38">
        <f t="shared" si="126"/>
        <v>0</v>
      </c>
      <c r="DQ155" s="173" t="str">
        <f t="shared" si="122"/>
        <v>(Dece) 0</v>
      </c>
      <c r="DR155" s="36" t="str">
        <f t="shared" si="123"/>
        <v/>
      </c>
      <c r="DV155" s="176">
        <f t="shared" si="117"/>
        <v>0</v>
      </c>
      <c r="DW155" s="243">
        <f>IF(COUNTIF('Char Sheet p1'!$AP$7:$AP$35,DQ155)=0,0,ROUNDDOWN(SUMIF('Char Sheet p1'!$AP$7:$AP$35,DQ155,'Char Sheet p1'!$AQ$7:$AQ$35)/10,0))</f>
        <v>0</v>
      </c>
      <c r="DX155" s="240">
        <f t="shared" si="124"/>
        <v>0</v>
      </c>
      <c r="DY155" s="36">
        <f t="shared" si="128"/>
        <v>24</v>
      </c>
      <c r="DZ155" s="36" t="str">
        <f t="shared" si="118"/>
        <v/>
      </c>
      <c r="EE155" s="36">
        <f t="shared" si="127"/>
        <v>3</v>
      </c>
    </row>
    <row r="156" spans="31:135">
      <c r="AG156" s="32" t="s">
        <v>878</v>
      </c>
      <c r="AH156" s="34" t="s">
        <v>881</v>
      </c>
      <c r="AI156" s="34"/>
      <c r="AJ156" s="31"/>
      <c r="AK156" s="31"/>
      <c r="AL156" s="31" t="str">
        <f t="shared" si="103"/>
        <v/>
      </c>
      <c r="AM156" s="31">
        <v>1</v>
      </c>
      <c r="AN156" s="31">
        <f t="shared" si="125"/>
        <v>155</v>
      </c>
      <c r="AO156" s="35" t="s">
        <v>968</v>
      </c>
      <c r="AP156" s="134"/>
      <c r="AQ156" s="47"/>
      <c r="AR156" s="134"/>
      <c r="AS156" s="47"/>
      <c r="AT156" s="134"/>
      <c r="AU156" s="47"/>
      <c r="AV156" s="134"/>
      <c r="AW156" s="47"/>
      <c r="AX156" s="134"/>
      <c r="AY156" s="47"/>
      <c r="AZ156" s="134"/>
      <c r="BA156" s="47"/>
      <c r="BB156" s="134"/>
      <c r="BC156" s="47"/>
      <c r="BD156" s="134"/>
      <c r="BE156" s="47"/>
      <c r="BF156" s="134"/>
      <c r="BG156" s="47"/>
      <c r="BH156" s="134"/>
      <c r="BI156" s="47"/>
      <c r="BJ156" s="134"/>
      <c r="BK156" s="47"/>
      <c r="BL156" s="134"/>
      <c r="BM156" s="47"/>
      <c r="BN156" s="134"/>
      <c r="BO156" s="47"/>
      <c r="BP156" s="134"/>
      <c r="BQ156" s="47"/>
      <c r="BR156" s="134"/>
      <c r="BS156" s="47"/>
      <c r="BT156" s="134"/>
      <c r="BU156" s="47"/>
      <c r="BV156" s="134"/>
      <c r="BW156" s="47"/>
      <c r="BX156" s="134"/>
      <c r="BY156" s="47"/>
      <c r="BZ156" s="134"/>
      <c r="CA156" s="47"/>
      <c r="CB156" s="120"/>
      <c r="CC156" s="120"/>
      <c r="CD156" s="120"/>
      <c r="CE156" s="120"/>
      <c r="CF156" s="120"/>
      <c r="CG156" s="120"/>
      <c r="CH156" s="120"/>
      <c r="CI156" s="120"/>
      <c r="CJ156" s="120"/>
      <c r="CK156" s="179">
        <f t="shared" si="129"/>
        <v>155</v>
      </c>
      <c r="CM156" s="36">
        <f t="shared" si="119"/>
        <v>155</v>
      </c>
      <c r="CO156" s="36">
        <f t="shared" si="120"/>
        <v>155</v>
      </c>
      <c r="CS156" s="28">
        <f t="shared" si="130"/>
        <v>155</v>
      </c>
      <c r="CT156" s="74">
        <f>'Char Sheet p1'!$AM$45</f>
        <v>0</v>
      </c>
      <c r="CU156" s="28">
        <f t="shared" si="130"/>
        <v>155</v>
      </c>
      <c r="CV156" s="74">
        <f>'Char Sheet p1'!$AM$45</f>
        <v>0</v>
      </c>
      <c r="CW156" s="28">
        <f t="shared" si="110"/>
        <v>155</v>
      </c>
      <c r="CX156" s="74">
        <f>'Char Sheet p1'!$AM$45</f>
        <v>0</v>
      </c>
      <c r="CY156" s="28">
        <f t="shared" si="112"/>
        <v>155</v>
      </c>
      <c r="CZ156" s="74">
        <f>'Char Sheet p1'!$AM$45</f>
        <v>0</v>
      </c>
      <c r="DA156" s="28">
        <f t="shared" si="113"/>
        <v>155</v>
      </c>
      <c r="DB156" s="74">
        <f>'Char Sheet p1'!$AM$45</f>
        <v>0</v>
      </c>
      <c r="DC156" s="28">
        <f t="shared" si="115"/>
        <v>155</v>
      </c>
      <c r="DD156" s="74"/>
      <c r="DN156" s="32">
        <v>155</v>
      </c>
      <c r="DO156" s="34" t="s">
        <v>664</v>
      </c>
      <c r="DP156" s="38">
        <f t="shared" si="126"/>
        <v>0</v>
      </c>
      <c r="DQ156" s="173" t="str">
        <f t="shared" si="122"/>
        <v>(Dece) 0</v>
      </c>
      <c r="DR156" s="36" t="str">
        <f t="shared" si="123"/>
        <v/>
      </c>
      <c r="DV156" s="176">
        <f t="shared" si="117"/>
        <v>0</v>
      </c>
      <c r="DW156" s="243">
        <f>IF(COUNTIF('Char Sheet p1'!$AP$7:$AP$35,DQ156)=0,0,ROUNDDOWN(SUMIF('Char Sheet p1'!$AP$7:$AP$35,DQ156,'Char Sheet p1'!$AQ$7:$AQ$35)/10,0))</f>
        <v>0</v>
      </c>
      <c r="DX156" s="240">
        <f t="shared" si="124"/>
        <v>0</v>
      </c>
      <c r="DY156" s="36">
        <f t="shared" si="128"/>
        <v>25</v>
      </c>
      <c r="DZ156" s="36" t="str">
        <f t="shared" si="118"/>
        <v/>
      </c>
      <c r="EE156" s="36">
        <f t="shared" si="127"/>
        <v>3</v>
      </c>
    </row>
    <row r="157" spans="31:135">
      <c r="AG157" s="32"/>
      <c r="AH157" s="34"/>
      <c r="AI157" s="34"/>
      <c r="AJ157" s="31"/>
      <c r="AK157" s="31"/>
      <c r="AL157" s="31"/>
      <c r="AM157" s="31"/>
      <c r="AN157" s="31">
        <f t="shared" si="125"/>
        <v>156</v>
      </c>
      <c r="AO157" s="35"/>
      <c r="AP157" s="134"/>
      <c r="AQ157" s="47"/>
      <c r="AR157" s="134"/>
      <c r="AS157" s="47"/>
      <c r="AT157" s="134"/>
      <c r="AU157" s="47"/>
      <c r="AV157" s="134"/>
      <c r="AW157" s="47"/>
      <c r="AX157" s="134"/>
      <c r="AY157" s="47"/>
      <c r="AZ157" s="134"/>
      <c r="BA157" s="47"/>
      <c r="BB157" s="134"/>
      <c r="BC157" s="47"/>
      <c r="BD157" s="134"/>
      <c r="BE157" s="47"/>
      <c r="BF157" s="134"/>
      <c r="BG157" s="47"/>
      <c r="BH157" s="134"/>
      <c r="BI157" s="47"/>
      <c r="BJ157" s="134"/>
      <c r="BK157" s="47"/>
      <c r="BL157" s="134"/>
      <c r="BM157" s="47"/>
      <c r="BN157" s="134"/>
      <c r="BO157" s="47"/>
      <c r="BP157" s="134"/>
      <c r="BQ157" s="47"/>
      <c r="BR157" s="134"/>
      <c r="BS157" s="47"/>
      <c r="BT157" s="134"/>
      <c r="BU157" s="47"/>
      <c r="BV157" s="134"/>
      <c r="BW157" s="47"/>
      <c r="BX157" s="134"/>
      <c r="BY157" s="47"/>
      <c r="BZ157" s="134"/>
      <c r="CA157" s="47"/>
      <c r="CB157" s="120"/>
      <c r="CC157" s="120"/>
      <c r="CD157" s="120"/>
      <c r="CE157" s="120"/>
      <c r="CF157" s="120"/>
      <c r="CG157" s="120"/>
      <c r="CH157" s="120"/>
      <c r="CI157" s="120"/>
      <c r="CJ157" s="120"/>
      <c r="CK157" s="179" t="str">
        <f t="shared" si="129"/>
        <v/>
      </c>
      <c r="CM157" s="36" t="str">
        <f t="shared" si="119"/>
        <v/>
      </c>
      <c r="CO157" s="36" t="str">
        <f t="shared" si="120"/>
        <v/>
      </c>
      <c r="CS157" s="28" t="str">
        <f t="shared" si="130"/>
        <v/>
      </c>
      <c r="CT157" s="89">
        <f>'Char Sheet p1'!$AM$39</f>
        <v>0</v>
      </c>
      <c r="CU157" s="28" t="str">
        <f t="shared" si="130"/>
        <v/>
      </c>
      <c r="CV157" s="52">
        <f>'Char Sheet p1'!$AM$41</f>
        <v>0</v>
      </c>
      <c r="CW157" s="28" t="str">
        <f t="shared" si="110"/>
        <v/>
      </c>
      <c r="CX157" s="52">
        <f>'Char Sheet p1'!$AM$42</f>
        <v>0</v>
      </c>
      <c r="CY157" s="28" t="str">
        <f t="shared" si="112"/>
        <v/>
      </c>
      <c r="CZ157" s="52">
        <f>'Char Sheet p1'!$AM$43</f>
        <v>0</v>
      </c>
      <c r="DA157" s="28" t="str">
        <f t="shared" si="113"/>
        <v/>
      </c>
      <c r="DB157" s="52">
        <f>'Char Sheet p1'!$AM$44</f>
        <v>0</v>
      </c>
      <c r="DC157" s="28" t="str">
        <f t="shared" si="115"/>
        <v/>
      </c>
      <c r="DN157" s="32">
        <v>156</v>
      </c>
      <c r="DO157" s="34" t="s">
        <v>664</v>
      </c>
      <c r="DP157" s="38">
        <f t="shared" si="126"/>
        <v>0</v>
      </c>
      <c r="DQ157" s="173" t="str">
        <f t="shared" si="122"/>
        <v>(Dece) 0</v>
      </c>
      <c r="DR157" s="36" t="str">
        <f t="shared" si="123"/>
        <v/>
      </c>
      <c r="DV157" s="176">
        <f t="shared" si="117"/>
        <v>0</v>
      </c>
      <c r="DW157" s="243">
        <f>IF(COUNTIF('Char Sheet p1'!$AP$7:$AP$35,DQ157)=0,0,ROUNDDOWN(SUMIF('Char Sheet p1'!$AP$7:$AP$35,DQ157,'Char Sheet p1'!$AQ$7:$AQ$35)/10,0))</f>
        <v>0</v>
      </c>
      <c r="DX157" s="240">
        <f t="shared" si="124"/>
        <v>0</v>
      </c>
      <c r="DY157" s="36">
        <f t="shared" si="128"/>
        <v>26</v>
      </c>
      <c r="DZ157" s="36" t="str">
        <f t="shared" si="118"/>
        <v/>
      </c>
      <c r="EE157" s="55">
        <f t="shared" si="127"/>
        <v>3</v>
      </c>
    </row>
    <row r="158" spans="31:135">
      <c r="AG158" s="32"/>
      <c r="AH158" s="34"/>
      <c r="AI158" s="34"/>
      <c r="AJ158" s="31"/>
      <c r="AK158" s="31"/>
      <c r="AL158" s="31"/>
      <c r="AM158" s="31"/>
      <c r="AN158" s="31">
        <f t="shared" si="125"/>
        <v>157</v>
      </c>
      <c r="AO158" s="35"/>
      <c r="AP158" s="134"/>
      <c r="AQ158" s="47"/>
      <c r="AR158" s="134"/>
      <c r="AS158" s="47"/>
      <c r="AT158" s="134"/>
      <c r="AU158" s="47"/>
      <c r="AV158" s="134"/>
      <c r="AW158" s="47"/>
      <c r="AX158" s="134"/>
      <c r="AY158" s="47"/>
      <c r="AZ158" s="134"/>
      <c r="BA158" s="47"/>
      <c r="BB158" s="134"/>
      <c r="BC158" s="47"/>
      <c r="BD158" s="134"/>
      <c r="BE158" s="47"/>
      <c r="BF158" s="134"/>
      <c r="BG158" s="47"/>
      <c r="BH158" s="134"/>
      <c r="BI158" s="47"/>
      <c r="BJ158" s="134"/>
      <c r="BK158" s="47"/>
      <c r="BL158" s="134"/>
      <c r="BM158" s="47"/>
      <c r="BN158" s="134"/>
      <c r="BO158" s="47"/>
      <c r="BP158" s="134"/>
      <c r="BQ158" s="47"/>
      <c r="BR158" s="134"/>
      <c r="BS158" s="47"/>
      <c r="BT158" s="134"/>
      <c r="BU158" s="47"/>
      <c r="BV158" s="134"/>
      <c r="BW158" s="47"/>
      <c r="BX158" s="134"/>
      <c r="BY158" s="47"/>
      <c r="BZ158" s="134"/>
      <c r="CA158" s="47"/>
      <c r="CB158" s="120"/>
      <c r="CC158" s="120"/>
      <c r="CD158" s="120"/>
      <c r="CE158" s="120"/>
      <c r="CF158" s="120"/>
      <c r="CG158" s="120"/>
      <c r="CH158" s="120"/>
      <c r="CI158" s="120"/>
      <c r="CJ158" s="120"/>
      <c r="CK158" s="179" t="str">
        <f t="shared" si="129"/>
        <v/>
      </c>
      <c r="CM158" s="36" t="str">
        <f t="shared" si="119"/>
        <v/>
      </c>
      <c r="CO158" s="36" t="str">
        <f t="shared" si="120"/>
        <v/>
      </c>
      <c r="CS158" s="28" t="str">
        <f t="shared" si="130"/>
        <v/>
      </c>
      <c r="CU158" s="28" t="str">
        <f t="shared" si="130"/>
        <v/>
      </c>
      <c r="CW158" s="28" t="str">
        <f t="shared" si="110"/>
        <v/>
      </c>
      <c r="CY158" s="28" t="str">
        <f t="shared" si="112"/>
        <v/>
      </c>
      <c r="DA158" s="28" t="str">
        <f t="shared" si="113"/>
        <v/>
      </c>
      <c r="DC158" s="28" t="str">
        <f t="shared" si="115"/>
        <v/>
      </c>
      <c r="DN158" s="32">
        <v>157</v>
      </c>
      <c r="DO158" s="34" t="s">
        <v>669</v>
      </c>
      <c r="DP158" s="38" t="str">
        <f t="shared" ref="DP158:DP183" si="131">R2</f>
        <v>Resilience</v>
      </c>
      <c r="DQ158" s="173" t="str">
        <f t="shared" si="122"/>
        <v>(Endu) Resilience</v>
      </c>
      <c r="DR158" s="36">
        <f t="shared" si="123"/>
        <v>157</v>
      </c>
      <c r="DV158" s="176">
        <f t="shared" si="117"/>
        <v>0</v>
      </c>
      <c r="DW158" s="243">
        <f>IF(COUNTIF('Char Sheet p1'!$AP$7:$AP$35,DQ158)=0,0,ROUNDDOWN(SUMIF('Char Sheet p1'!$AP$7:$AP$35,DQ158,'Char Sheet p1'!$AQ$7:$AQ$35)/10,0))</f>
        <v>0</v>
      </c>
      <c r="DX158" s="240">
        <f t="shared" si="124"/>
        <v>0</v>
      </c>
      <c r="DY158" s="36">
        <v>1</v>
      </c>
      <c r="DZ158" s="36" t="str">
        <f t="shared" si="118"/>
        <v/>
      </c>
      <c r="EE158" s="245">
        <f>'Char Sheet p1'!B24</f>
        <v>3</v>
      </c>
    </row>
    <row r="159" spans="31:135">
      <c r="AG159" s="32"/>
      <c r="AH159" s="34"/>
      <c r="AI159" s="34"/>
      <c r="AJ159" s="31"/>
      <c r="AK159" s="31"/>
      <c r="AL159" s="31"/>
      <c r="AM159" s="31"/>
      <c r="AN159" s="31">
        <f t="shared" si="125"/>
        <v>158</v>
      </c>
      <c r="AO159" s="35"/>
      <c r="AP159" s="134"/>
      <c r="AQ159" s="47"/>
      <c r="AR159" s="134"/>
      <c r="AS159" s="47"/>
      <c r="AT159" s="134"/>
      <c r="AU159" s="47"/>
      <c r="AV159" s="134"/>
      <c r="AW159" s="47"/>
      <c r="AX159" s="134"/>
      <c r="AY159" s="47"/>
      <c r="AZ159" s="134"/>
      <c r="BA159" s="47"/>
      <c r="BB159" s="134"/>
      <c r="BC159" s="47"/>
      <c r="BD159" s="134"/>
      <c r="BE159" s="47"/>
      <c r="BF159" s="134"/>
      <c r="BG159" s="47"/>
      <c r="BH159" s="134"/>
      <c r="BI159" s="47"/>
      <c r="BJ159" s="134"/>
      <c r="BK159" s="47"/>
      <c r="BL159" s="134"/>
      <c r="BM159" s="47"/>
      <c r="BN159" s="134"/>
      <c r="BO159" s="47"/>
      <c r="BP159" s="134"/>
      <c r="BQ159" s="47"/>
      <c r="BR159" s="134"/>
      <c r="BS159" s="47"/>
      <c r="BT159" s="134"/>
      <c r="BU159" s="47"/>
      <c r="BV159" s="134"/>
      <c r="BW159" s="47"/>
      <c r="BX159" s="134"/>
      <c r="BY159" s="47"/>
      <c r="BZ159" s="134"/>
      <c r="CA159" s="47"/>
      <c r="CB159" s="120"/>
      <c r="CC159" s="120"/>
      <c r="CD159" s="120"/>
      <c r="CE159" s="120"/>
      <c r="CF159" s="120"/>
      <c r="CG159" s="120"/>
      <c r="CH159" s="120"/>
      <c r="CI159" s="120"/>
      <c r="CJ159" s="120"/>
      <c r="CK159" s="179" t="str">
        <f t="shared" si="129"/>
        <v/>
      </c>
      <c r="CM159" s="36" t="str">
        <f t="shared" si="119"/>
        <v/>
      </c>
      <c r="CO159" s="36" t="str">
        <f t="shared" si="120"/>
        <v/>
      </c>
      <c r="CS159" s="28" t="str">
        <f t="shared" si="130"/>
        <v/>
      </c>
      <c r="CU159" s="28" t="str">
        <f t="shared" si="130"/>
        <v/>
      </c>
      <c r="CW159" s="28" t="str">
        <f t="shared" si="110"/>
        <v/>
      </c>
      <c r="CY159" s="28" t="str">
        <f t="shared" si="112"/>
        <v/>
      </c>
      <c r="DA159" s="28" t="str">
        <f t="shared" si="113"/>
        <v/>
      </c>
      <c r="DC159" s="28" t="str">
        <f t="shared" si="115"/>
        <v/>
      </c>
      <c r="DN159" s="32">
        <v>158</v>
      </c>
      <c r="DO159" s="34" t="s">
        <v>669</v>
      </c>
      <c r="DP159" s="38" t="str">
        <f t="shared" si="131"/>
        <v>Stamina</v>
      </c>
      <c r="DQ159" s="173" t="str">
        <f t="shared" si="122"/>
        <v>(Endu) Stamina</v>
      </c>
      <c r="DR159" s="36">
        <f t="shared" si="123"/>
        <v>158</v>
      </c>
      <c r="DV159" s="176">
        <f t="shared" si="117"/>
        <v>0</v>
      </c>
      <c r="DW159" s="243">
        <f>IF(COUNTIF('Char Sheet p1'!$AP$7:$AP$35,DQ159)=0,0,ROUNDDOWN(SUMIF('Char Sheet p1'!$AP$7:$AP$35,DQ159,'Char Sheet p1'!$AQ$7:$AQ$35)/10,0))</f>
        <v>0</v>
      </c>
      <c r="DX159" s="240">
        <f t="shared" si="124"/>
        <v>0</v>
      </c>
      <c r="DY159" s="36">
        <v>2</v>
      </c>
      <c r="DZ159" s="36" t="str">
        <f t="shared" si="118"/>
        <v/>
      </c>
      <c r="EE159" s="36">
        <f>EE158</f>
        <v>3</v>
      </c>
    </row>
    <row r="160" spans="31:135">
      <c r="AG160" s="32"/>
      <c r="AH160" s="34"/>
      <c r="AI160" s="34"/>
      <c r="AJ160" s="31"/>
      <c r="AK160" s="31"/>
      <c r="AL160" s="31"/>
      <c r="AM160" s="31"/>
      <c r="AN160" s="31">
        <f t="shared" si="125"/>
        <v>159</v>
      </c>
      <c r="AO160" s="35"/>
      <c r="AP160" s="134"/>
      <c r="AQ160" s="47"/>
      <c r="AR160" s="134"/>
      <c r="AS160" s="47"/>
      <c r="AT160" s="134"/>
      <c r="AU160" s="47"/>
      <c r="AV160" s="134"/>
      <c r="AW160" s="47"/>
      <c r="AX160" s="134"/>
      <c r="AY160" s="47"/>
      <c r="AZ160" s="134"/>
      <c r="BA160" s="47"/>
      <c r="BB160" s="134"/>
      <c r="BC160" s="47"/>
      <c r="BD160" s="134"/>
      <c r="BE160" s="47"/>
      <c r="BF160" s="134"/>
      <c r="BG160" s="47"/>
      <c r="BH160" s="134"/>
      <c r="BI160" s="47"/>
      <c r="BJ160" s="134"/>
      <c r="BK160" s="47"/>
      <c r="BL160" s="134"/>
      <c r="BM160" s="47"/>
      <c r="BN160" s="134"/>
      <c r="BO160" s="47"/>
      <c r="BP160" s="134"/>
      <c r="BQ160" s="47"/>
      <c r="BR160" s="134"/>
      <c r="BS160" s="47"/>
      <c r="BT160" s="134"/>
      <c r="BU160" s="47"/>
      <c r="BV160" s="134"/>
      <c r="BW160" s="47"/>
      <c r="BX160" s="134"/>
      <c r="BY160" s="47"/>
      <c r="BZ160" s="134"/>
      <c r="CA160" s="47"/>
      <c r="CB160" s="120"/>
      <c r="CC160" s="120"/>
      <c r="CD160" s="120"/>
      <c r="CE160" s="120"/>
      <c r="CF160" s="120"/>
      <c r="CG160" s="120"/>
      <c r="CH160" s="120"/>
      <c r="CI160" s="120"/>
      <c r="CJ160" s="120"/>
      <c r="CK160" s="179" t="str">
        <f t="shared" si="129"/>
        <v/>
      </c>
      <c r="CM160" s="36" t="str">
        <f t="shared" si="119"/>
        <v/>
      </c>
      <c r="CO160" s="36" t="str">
        <f t="shared" si="120"/>
        <v/>
      </c>
      <c r="CS160" s="28" t="str">
        <f t="shared" si="130"/>
        <v/>
      </c>
      <c r="CU160" s="28" t="str">
        <f t="shared" si="130"/>
        <v/>
      </c>
      <c r="CW160" s="28" t="str">
        <f t="shared" si="110"/>
        <v/>
      </c>
      <c r="CY160" s="28" t="str">
        <f t="shared" si="112"/>
        <v/>
      </c>
      <c r="DA160" s="28" t="str">
        <f t="shared" si="113"/>
        <v/>
      </c>
      <c r="DC160" s="28" t="str">
        <f t="shared" si="115"/>
        <v/>
      </c>
      <c r="DN160" s="32">
        <v>159</v>
      </c>
      <c r="DO160" s="34" t="s">
        <v>669</v>
      </c>
      <c r="DP160" s="38">
        <f t="shared" si="131"/>
        <v>0</v>
      </c>
      <c r="DQ160" s="173" t="str">
        <f t="shared" si="122"/>
        <v>(Endu) 0</v>
      </c>
      <c r="DR160" s="36" t="str">
        <f t="shared" si="123"/>
        <v/>
      </c>
      <c r="DV160" s="176">
        <f t="shared" si="117"/>
        <v>0</v>
      </c>
      <c r="DW160" s="243">
        <f>IF(COUNTIF('Char Sheet p1'!$AP$7:$AP$35,DQ160)=0,0,ROUNDDOWN(SUMIF('Char Sheet p1'!$AP$7:$AP$35,DQ160,'Char Sheet p1'!$AQ$7:$AQ$35)/10,0))</f>
        <v>0</v>
      </c>
      <c r="DX160" s="240">
        <f t="shared" si="124"/>
        <v>0</v>
      </c>
      <c r="DY160" s="36">
        <v>3</v>
      </c>
      <c r="DZ160" s="36" t="str">
        <f t="shared" si="118"/>
        <v/>
      </c>
      <c r="EE160" s="36">
        <f t="shared" ref="EE160:EE183" si="132">EE159</f>
        <v>3</v>
      </c>
    </row>
    <row r="161" spans="33:135">
      <c r="AG161" s="32"/>
      <c r="AH161" s="34"/>
      <c r="AI161" s="34"/>
      <c r="AJ161" s="31"/>
      <c r="AK161" s="31"/>
      <c r="AL161" s="31"/>
      <c r="AM161" s="31"/>
      <c r="AN161" s="31">
        <f t="shared" si="125"/>
        <v>160</v>
      </c>
      <c r="AO161" s="35"/>
      <c r="AP161" s="134"/>
      <c r="AQ161" s="47"/>
      <c r="AR161" s="134"/>
      <c r="AS161" s="47"/>
      <c r="AT161" s="134"/>
      <c r="AU161" s="47"/>
      <c r="AV161" s="134"/>
      <c r="AW161" s="47"/>
      <c r="AX161" s="134"/>
      <c r="AY161" s="47"/>
      <c r="AZ161" s="134"/>
      <c r="BA161" s="47"/>
      <c r="BB161" s="134"/>
      <c r="BC161" s="47"/>
      <c r="BD161" s="134"/>
      <c r="BE161" s="47"/>
      <c r="BF161" s="134"/>
      <c r="BG161" s="47"/>
      <c r="BH161" s="134"/>
      <c r="BI161" s="47"/>
      <c r="BJ161" s="134"/>
      <c r="BK161" s="47"/>
      <c r="BL161" s="134"/>
      <c r="BM161" s="47"/>
      <c r="BN161" s="134"/>
      <c r="BO161" s="47"/>
      <c r="BP161" s="134"/>
      <c r="BQ161" s="47"/>
      <c r="BR161" s="134"/>
      <c r="BS161" s="47"/>
      <c r="BT161" s="134"/>
      <c r="BU161" s="47"/>
      <c r="BV161" s="134"/>
      <c r="BW161" s="47"/>
      <c r="BX161" s="134"/>
      <c r="BY161" s="47"/>
      <c r="BZ161" s="134"/>
      <c r="CA161" s="47"/>
      <c r="CB161" s="120"/>
      <c r="CC161" s="120"/>
      <c r="CD161" s="120"/>
      <c r="CE161" s="120"/>
      <c r="CF161" s="120"/>
      <c r="CG161" s="120"/>
      <c r="CH161" s="120"/>
      <c r="CI161" s="120"/>
      <c r="CJ161" s="120"/>
      <c r="CK161" s="179" t="str">
        <f t="shared" si="129"/>
        <v/>
      </c>
      <c r="CM161" s="36" t="str">
        <f t="shared" si="119"/>
        <v/>
      </c>
      <c r="CO161" s="36" t="str">
        <f t="shared" si="120"/>
        <v/>
      </c>
      <c r="CS161" s="28" t="str">
        <f t="shared" si="130"/>
        <v/>
      </c>
      <c r="CU161" s="28" t="str">
        <f t="shared" si="130"/>
        <v/>
      </c>
      <c r="CW161" s="28" t="str">
        <f t="shared" si="110"/>
        <v/>
      </c>
      <c r="CY161" s="28" t="str">
        <f t="shared" si="112"/>
        <v/>
      </c>
      <c r="DA161" s="28" t="str">
        <f t="shared" si="113"/>
        <v/>
      </c>
      <c r="DC161" s="28" t="str">
        <f t="shared" si="115"/>
        <v/>
      </c>
      <c r="DN161" s="32">
        <v>160</v>
      </c>
      <c r="DO161" s="34" t="s">
        <v>669</v>
      </c>
      <c r="DP161" s="38">
        <f t="shared" si="131"/>
        <v>0</v>
      </c>
      <c r="DQ161" s="173" t="str">
        <f t="shared" si="122"/>
        <v>(Endu) 0</v>
      </c>
      <c r="DR161" s="36" t="str">
        <f t="shared" si="123"/>
        <v/>
      </c>
      <c r="DV161" s="176">
        <f t="shared" si="117"/>
        <v>0</v>
      </c>
      <c r="DW161" s="243">
        <f>IF(COUNTIF('Char Sheet p1'!$AP$7:$AP$35,DQ161)=0,0,ROUNDDOWN(SUMIF('Char Sheet p1'!$AP$7:$AP$35,DQ161,'Char Sheet p1'!$AQ$7:$AQ$35)/10,0))</f>
        <v>0</v>
      </c>
      <c r="DX161" s="240">
        <f t="shared" si="124"/>
        <v>0</v>
      </c>
      <c r="DY161" s="36">
        <v>4</v>
      </c>
      <c r="DZ161" s="36" t="str">
        <f t="shared" si="118"/>
        <v/>
      </c>
      <c r="EE161" s="36">
        <f t="shared" si="132"/>
        <v>3</v>
      </c>
    </row>
    <row r="162" spans="33:135">
      <c r="AG162" s="32"/>
      <c r="AH162" s="34"/>
      <c r="AI162" s="34"/>
      <c r="AJ162" s="31"/>
      <c r="AK162" s="31"/>
      <c r="AL162" s="31" t="str">
        <f t="shared" ref="AL162:AL193" si="133">IF(AH162="Heritage",COUNTIF(qualities,AG162),"")</f>
        <v/>
      </c>
      <c r="AM162" s="31"/>
      <c r="AN162" s="31">
        <f t="shared" si="125"/>
        <v>161</v>
      </c>
      <c r="AO162" s="35"/>
      <c r="AP162" s="134"/>
      <c r="AQ162" s="47"/>
      <c r="AR162" s="134"/>
      <c r="AS162" s="47"/>
      <c r="AT162" s="134"/>
      <c r="AU162" s="47"/>
      <c r="AV162" s="134"/>
      <c r="AW162" s="47"/>
      <c r="AX162" s="134"/>
      <c r="AY162" s="47"/>
      <c r="AZ162" s="134"/>
      <c r="BA162" s="47"/>
      <c r="BB162" s="134"/>
      <c r="BC162" s="47"/>
      <c r="BD162" s="134"/>
      <c r="BE162" s="47"/>
      <c r="BF162" s="134"/>
      <c r="BG162" s="47"/>
      <c r="BH162" s="134"/>
      <c r="BI162" s="47"/>
      <c r="BJ162" s="134"/>
      <c r="BK162" s="47"/>
      <c r="BL162" s="134"/>
      <c r="BM162" s="47"/>
      <c r="BN162" s="134"/>
      <c r="BO162" s="47"/>
      <c r="BP162" s="134"/>
      <c r="BQ162" s="47"/>
      <c r="BR162" s="134"/>
      <c r="BS162" s="47"/>
      <c r="BT162" s="134"/>
      <c r="BU162" s="47"/>
      <c r="BV162" s="134"/>
      <c r="BW162" s="47"/>
      <c r="BX162" s="134"/>
      <c r="BY162" s="47"/>
      <c r="BZ162" s="134"/>
      <c r="CA162" s="47"/>
      <c r="CB162" s="120"/>
      <c r="CC162" s="120"/>
      <c r="CD162" s="120"/>
      <c r="CE162" s="120"/>
      <c r="CF162" s="120"/>
      <c r="CG162" s="120"/>
      <c r="CH162" s="120"/>
      <c r="CI162" s="120"/>
      <c r="CJ162" s="120"/>
      <c r="CK162" s="179" t="str">
        <f t="shared" si="129"/>
        <v/>
      </c>
      <c r="CM162" s="36" t="str">
        <f t="shared" si="119"/>
        <v/>
      </c>
      <c r="CO162" s="36" t="str">
        <f t="shared" si="120"/>
        <v/>
      </c>
      <c r="CS162" s="28" t="str">
        <f t="shared" si="130"/>
        <v/>
      </c>
      <c r="CU162" s="28" t="str">
        <f t="shared" si="130"/>
        <v/>
      </c>
      <c r="CW162" s="28" t="str">
        <f t="shared" si="110"/>
        <v/>
      </c>
      <c r="CY162" s="28" t="str">
        <f t="shared" si="112"/>
        <v/>
      </c>
      <c r="DA162" s="28" t="str">
        <f t="shared" si="113"/>
        <v/>
      </c>
      <c r="DC162" s="28" t="str">
        <f t="shared" si="115"/>
        <v/>
      </c>
      <c r="DN162" s="32">
        <v>161</v>
      </c>
      <c r="DO162" s="34" t="s">
        <v>669</v>
      </c>
      <c r="DP162" s="38">
        <f t="shared" si="131"/>
        <v>0</v>
      </c>
      <c r="DQ162" s="173" t="str">
        <f t="shared" si="122"/>
        <v>(Endu) 0</v>
      </c>
      <c r="DR162" s="36" t="str">
        <f t="shared" si="123"/>
        <v/>
      </c>
      <c r="DV162" s="176">
        <f t="shared" si="117"/>
        <v>0</v>
      </c>
      <c r="DW162" s="243">
        <f>IF(COUNTIF('Char Sheet p1'!$AP$7:$AP$35,DQ162)=0,0,ROUNDDOWN(SUMIF('Char Sheet p1'!$AP$7:$AP$35,DQ162,'Char Sheet p1'!$AQ$7:$AQ$35)/10,0))</f>
        <v>0</v>
      </c>
      <c r="DX162" s="240">
        <f t="shared" si="124"/>
        <v>0</v>
      </c>
      <c r="DY162" s="36">
        <f>DY161+1</f>
        <v>5</v>
      </c>
      <c r="DZ162" s="36" t="str">
        <f t="shared" si="118"/>
        <v/>
      </c>
      <c r="EE162" s="36">
        <f t="shared" si="132"/>
        <v>3</v>
      </c>
    </row>
    <row r="163" spans="33:135">
      <c r="AG163" s="32"/>
      <c r="AH163" s="34"/>
      <c r="AI163" s="34"/>
      <c r="AJ163" s="31"/>
      <c r="AK163" s="31"/>
      <c r="AL163" s="31" t="str">
        <f t="shared" si="133"/>
        <v/>
      </c>
      <c r="AM163" s="31"/>
      <c r="AN163" s="31">
        <f t="shared" si="125"/>
        <v>162</v>
      </c>
      <c r="AO163" s="35"/>
      <c r="AP163" s="134"/>
      <c r="AQ163" s="47"/>
      <c r="AR163" s="134"/>
      <c r="AS163" s="47"/>
      <c r="AT163" s="134"/>
      <c r="AU163" s="47"/>
      <c r="AV163" s="134"/>
      <c r="AW163" s="47"/>
      <c r="AX163" s="134"/>
      <c r="AY163" s="47"/>
      <c r="AZ163" s="134"/>
      <c r="BA163" s="47"/>
      <c r="BB163" s="134"/>
      <c r="BC163" s="47"/>
      <c r="BD163" s="134"/>
      <c r="BE163" s="47"/>
      <c r="BF163" s="134"/>
      <c r="BG163" s="47"/>
      <c r="BH163" s="134"/>
      <c r="BI163" s="47"/>
      <c r="BJ163" s="134"/>
      <c r="BK163" s="47"/>
      <c r="BL163" s="134"/>
      <c r="BM163" s="47"/>
      <c r="BN163" s="134"/>
      <c r="BO163" s="47"/>
      <c r="BP163" s="134"/>
      <c r="BQ163" s="47"/>
      <c r="BR163" s="134"/>
      <c r="BS163" s="47"/>
      <c r="BT163" s="134"/>
      <c r="BU163" s="47"/>
      <c r="BV163" s="134"/>
      <c r="BW163" s="47"/>
      <c r="BX163" s="134"/>
      <c r="BY163" s="47"/>
      <c r="BZ163" s="134"/>
      <c r="CA163" s="47"/>
      <c r="CB163" s="120"/>
      <c r="CC163" s="120"/>
      <c r="CD163" s="120"/>
      <c r="CE163" s="120"/>
      <c r="CF163" s="120"/>
      <c r="CG163" s="120"/>
      <c r="CH163" s="120"/>
      <c r="CI163" s="120"/>
      <c r="CJ163" s="120"/>
      <c r="CK163" s="179" t="str">
        <f t="shared" si="129"/>
        <v/>
      </c>
      <c r="CM163" s="36" t="str">
        <f t="shared" si="119"/>
        <v/>
      </c>
      <c r="CO163" s="36" t="str">
        <f t="shared" si="120"/>
        <v/>
      </c>
      <c r="CS163" s="28" t="str">
        <f t="shared" si="130"/>
        <v/>
      </c>
      <c r="CU163" s="28" t="str">
        <f t="shared" si="130"/>
        <v/>
      </c>
      <c r="CW163" s="28" t="str">
        <f t="shared" si="110"/>
        <v/>
      </c>
      <c r="CY163" s="28" t="str">
        <f t="shared" si="112"/>
        <v/>
      </c>
      <c r="DA163" s="28" t="str">
        <f t="shared" si="113"/>
        <v/>
      </c>
      <c r="DC163" s="28" t="str">
        <f t="shared" si="115"/>
        <v/>
      </c>
      <c r="DN163" s="32">
        <v>162</v>
      </c>
      <c r="DO163" s="34" t="s">
        <v>669</v>
      </c>
      <c r="DP163" s="38">
        <f t="shared" si="131"/>
        <v>0</v>
      </c>
      <c r="DQ163" s="173" t="str">
        <f t="shared" si="122"/>
        <v>(Endu) 0</v>
      </c>
      <c r="DR163" s="36" t="str">
        <f t="shared" si="123"/>
        <v/>
      </c>
      <c r="DV163" s="176">
        <f t="shared" si="117"/>
        <v>0</v>
      </c>
      <c r="DW163" s="243">
        <f>IF(COUNTIF('Char Sheet p1'!$AP$7:$AP$35,DQ163)=0,0,ROUNDDOWN(SUMIF('Char Sheet p1'!$AP$7:$AP$35,DQ163,'Char Sheet p1'!$AQ$7:$AQ$35)/10,0))</f>
        <v>0</v>
      </c>
      <c r="DX163" s="240">
        <f t="shared" si="124"/>
        <v>0</v>
      </c>
      <c r="DY163" s="36">
        <f t="shared" ref="DY163:DY183" si="134">DY162+1</f>
        <v>6</v>
      </c>
      <c r="DZ163" s="36" t="str">
        <f t="shared" si="118"/>
        <v/>
      </c>
      <c r="EE163" s="36">
        <f t="shared" si="132"/>
        <v>3</v>
      </c>
    </row>
    <row r="164" spans="33:135">
      <c r="AG164" s="32"/>
      <c r="AH164" s="34"/>
      <c r="AI164" s="34"/>
      <c r="AJ164" s="31"/>
      <c r="AK164" s="31"/>
      <c r="AL164" s="31" t="str">
        <f t="shared" si="133"/>
        <v/>
      </c>
      <c r="AM164" s="31"/>
      <c r="AN164" s="31">
        <f t="shared" si="125"/>
        <v>163</v>
      </c>
      <c r="AO164" s="35"/>
      <c r="AP164" s="134"/>
      <c r="AQ164" s="47"/>
      <c r="AR164" s="134"/>
      <c r="AS164" s="47"/>
      <c r="AT164" s="134"/>
      <c r="AU164" s="47"/>
      <c r="AV164" s="134"/>
      <c r="AW164" s="47"/>
      <c r="AX164" s="134"/>
      <c r="AY164" s="47"/>
      <c r="AZ164" s="134"/>
      <c r="BA164" s="47"/>
      <c r="BB164" s="134"/>
      <c r="BC164" s="47"/>
      <c r="BD164" s="134"/>
      <c r="BE164" s="47"/>
      <c r="BF164" s="134"/>
      <c r="BG164" s="47"/>
      <c r="BH164" s="134"/>
      <c r="BI164" s="47"/>
      <c r="BJ164" s="134"/>
      <c r="BK164" s="47"/>
      <c r="BL164" s="134"/>
      <c r="BM164" s="47"/>
      <c r="BN164" s="134"/>
      <c r="BO164" s="47"/>
      <c r="BP164" s="134"/>
      <c r="BQ164" s="47"/>
      <c r="BR164" s="134"/>
      <c r="BS164" s="47"/>
      <c r="BT164" s="134"/>
      <c r="BU164" s="47"/>
      <c r="BV164" s="134"/>
      <c r="BW164" s="47"/>
      <c r="BX164" s="134"/>
      <c r="BY164" s="47"/>
      <c r="BZ164" s="134"/>
      <c r="CA164" s="47"/>
      <c r="CB164" s="120"/>
      <c r="CC164" s="120"/>
      <c r="CD164" s="120"/>
      <c r="CE164" s="120"/>
      <c r="CF164" s="120"/>
      <c r="CG164" s="120"/>
      <c r="CH164" s="120"/>
      <c r="CI164" s="120"/>
      <c r="CJ164" s="120"/>
      <c r="CK164" s="179" t="str">
        <f t="shared" si="129"/>
        <v/>
      </c>
      <c r="CM164" s="36" t="str">
        <f t="shared" si="119"/>
        <v/>
      </c>
      <c r="CO164" s="36" t="str">
        <f t="shared" si="120"/>
        <v/>
      </c>
      <c r="CS164" s="28" t="str">
        <f t="shared" si="130"/>
        <v/>
      </c>
      <c r="CU164" s="28" t="str">
        <f t="shared" si="130"/>
        <v/>
      </c>
      <c r="CW164" s="28" t="str">
        <f t="shared" si="110"/>
        <v/>
      </c>
      <c r="CY164" s="28" t="str">
        <f t="shared" si="112"/>
        <v/>
      </c>
      <c r="DA164" s="28" t="str">
        <f t="shared" si="113"/>
        <v/>
      </c>
      <c r="DC164" s="28" t="str">
        <f t="shared" si="115"/>
        <v/>
      </c>
      <c r="DN164" s="32">
        <v>163</v>
      </c>
      <c r="DO164" s="34" t="s">
        <v>669</v>
      </c>
      <c r="DP164" s="38">
        <f t="shared" si="131"/>
        <v>0</v>
      </c>
      <c r="DQ164" s="173" t="str">
        <f t="shared" si="122"/>
        <v>(Endu) 0</v>
      </c>
      <c r="DR164" s="36" t="str">
        <f t="shared" si="123"/>
        <v/>
      </c>
      <c r="DV164" s="176">
        <f t="shared" si="117"/>
        <v>0</v>
      </c>
      <c r="DW164" s="243">
        <f>IF(COUNTIF('Char Sheet p1'!$AP$7:$AP$35,DQ164)=0,0,ROUNDDOWN(SUMIF('Char Sheet p1'!$AP$7:$AP$35,DQ164,'Char Sheet p1'!$AQ$7:$AQ$35)/10,0))</f>
        <v>0</v>
      </c>
      <c r="DX164" s="240">
        <f t="shared" si="124"/>
        <v>0</v>
      </c>
      <c r="DY164" s="36">
        <f t="shared" si="134"/>
        <v>7</v>
      </c>
      <c r="DZ164" s="36" t="str">
        <f t="shared" si="118"/>
        <v/>
      </c>
      <c r="EE164" s="36">
        <f t="shared" si="132"/>
        <v>3</v>
      </c>
    </row>
    <row r="165" spans="33:135">
      <c r="AG165" s="32"/>
      <c r="AH165" s="34"/>
      <c r="AI165" s="34"/>
      <c r="AJ165" s="31"/>
      <c r="AK165" s="31"/>
      <c r="AL165" s="31" t="str">
        <f t="shared" si="133"/>
        <v/>
      </c>
      <c r="AM165" s="31"/>
      <c r="AN165" s="31">
        <f t="shared" si="125"/>
        <v>164</v>
      </c>
      <c r="AO165" s="35"/>
      <c r="AP165" s="134"/>
      <c r="AQ165" s="47"/>
      <c r="AR165" s="134"/>
      <c r="AS165" s="47"/>
      <c r="AT165" s="134"/>
      <c r="AU165" s="47"/>
      <c r="AV165" s="134"/>
      <c r="AW165" s="47"/>
      <c r="AX165" s="134"/>
      <c r="AY165" s="47"/>
      <c r="AZ165" s="134"/>
      <c r="BA165" s="47"/>
      <c r="BB165" s="134"/>
      <c r="BC165" s="47"/>
      <c r="BD165" s="134"/>
      <c r="BE165" s="47"/>
      <c r="BF165" s="134"/>
      <c r="BG165" s="47"/>
      <c r="BH165" s="134"/>
      <c r="BI165" s="47"/>
      <c r="BJ165" s="134"/>
      <c r="BK165" s="47"/>
      <c r="BL165" s="134"/>
      <c r="BM165" s="47"/>
      <c r="BN165" s="134"/>
      <c r="BO165" s="47"/>
      <c r="BP165" s="134"/>
      <c r="BQ165" s="47"/>
      <c r="BR165" s="134"/>
      <c r="BS165" s="47"/>
      <c r="BT165" s="134"/>
      <c r="BU165" s="47"/>
      <c r="BV165" s="134"/>
      <c r="BW165" s="47"/>
      <c r="BX165" s="134"/>
      <c r="BY165" s="47"/>
      <c r="BZ165" s="134"/>
      <c r="CA165" s="47"/>
      <c r="CB165" s="120"/>
      <c r="CC165" s="120"/>
      <c r="CD165" s="120"/>
      <c r="CE165" s="120"/>
      <c r="CF165" s="120"/>
      <c r="CG165" s="120"/>
      <c r="CH165" s="120"/>
      <c r="CI165" s="120"/>
      <c r="CJ165" s="120"/>
      <c r="CK165" s="179" t="str">
        <f t="shared" si="129"/>
        <v/>
      </c>
      <c r="CM165" s="36" t="str">
        <f t="shared" si="119"/>
        <v/>
      </c>
      <c r="CO165" s="36" t="str">
        <f t="shared" si="120"/>
        <v/>
      </c>
      <c r="CS165" s="28" t="str">
        <f t="shared" si="130"/>
        <v/>
      </c>
      <c r="CU165" s="28" t="str">
        <f t="shared" si="130"/>
        <v/>
      </c>
      <c r="CW165" s="28" t="str">
        <f t="shared" si="110"/>
        <v/>
      </c>
      <c r="CY165" s="28" t="str">
        <f t="shared" si="112"/>
        <v/>
      </c>
      <c r="DA165" s="28" t="str">
        <f t="shared" si="113"/>
        <v/>
      </c>
      <c r="DC165" s="28" t="str">
        <f t="shared" si="115"/>
        <v/>
      </c>
      <c r="DN165" s="32">
        <v>164</v>
      </c>
      <c r="DO165" s="34" t="s">
        <v>669</v>
      </c>
      <c r="DP165" s="38">
        <f t="shared" si="131"/>
        <v>0</v>
      </c>
      <c r="DQ165" s="173" t="str">
        <f t="shared" si="122"/>
        <v>(Endu) 0</v>
      </c>
      <c r="DR165" s="36" t="str">
        <f t="shared" si="123"/>
        <v/>
      </c>
      <c r="DV165" s="176">
        <f t="shared" si="117"/>
        <v>0</v>
      </c>
      <c r="DW165" s="243">
        <f>IF(COUNTIF('Char Sheet p1'!$AP$7:$AP$35,DQ165)=0,0,ROUNDDOWN(SUMIF('Char Sheet p1'!$AP$7:$AP$35,DQ165,'Char Sheet p1'!$AQ$7:$AQ$35)/10,0))</f>
        <v>0</v>
      </c>
      <c r="DX165" s="240">
        <f t="shared" si="124"/>
        <v>0</v>
      </c>
      <c r="DY165" s="36">
        <f t="shared" si="134"/>
        <v>8</v>
      </c>
      <c r="DZ165" s="36" t="str">
        <f t="shared" si="118"/>
        <v/>
      </c>
      <c r="EE165" s="36">
        <f t="shared" si="132"/>
        <v>3</v>
      </c>
    </row>
    <row r="166" spans="33:135">
      <c r="AG166" s="32"/>
      <c r="AH166" s="34"/>
      <c r="AI166" s="34"/>
      <c r="AJ166" s="31"/>
      <c r="AK166" s="31"/>
      <c r="AL166" s="31" t="str">
        <f t="shared" si="133"/>
        <v/>
      </c>
      <c r="AM166" s="31"/>
      <c r="AN166" s="31">
        <f t="shared" si="125"/>
        <v>165</v>
      </c>
      <c r="AO166" s="35"/>
      <c r="AP166" s="134"/>
      <c r="AQ166" s="47"/>
      <c r="AR166" s="134"/>
      <c r="AS166" s="47"/>
      <c r="AT166" s="134"/>
      <c r="AU166" s="47"/>
      <c r="AV166" s="134"/>
      <c r="AW166" s="47"/>
      <c r="AX166" s="134"/>
      <c r="AY166" s="47"/>
      <c r="AZ166" s="134"/>
      <c r="BA166" s="47"/>
      <c r="BB166" s="134"/>
      <c r="BC166" s="47"/>
      <c r="BD166" s="134"/>
      <c r="BE166" s="47"/>
      <c r="BF166" s="134"/>
      <c r="BG166" s="47"/>
      <c r="BH166" s="134"/>
      <c r="BI166" s="47"/>
      <c r="BJ166" s="134"/>
      <c r="BK166" s="47"/>
      <c r="BL166" s="134"/>
      <c r="BM166" s="47"/>
      <c r="BN166" s="134"/>
      <c r="BO166" s="47"/>
      <c r="BP166" s="134"/>
      <c r="BQ166" s="47"/>
      <c r="BR166" s="134"/>
      <c r="BS166" s="47"/>
      <c r="BT166" s="134"/>
      <c r="BU166" s="47"/>
      <c r="BV166" s="134"/>
      <c r="BW166" s="47"/>
      <c r="BX166" s="134"/>
      <c r="BY166" s="47"/>
      <c r="BZ166" s="134"/>
      <c r="CA166" s="47"/>
      <c r="CB166" s="120"/>
      <c r="CC166" s="120"/>
      <c r="CD166" s="120"/>
      <c r="CE166" s="120"/>
      <c r="CF166" s="120"/>
      <c r="CG166" s="120"/>
      <c r="CH166" s="120"/>
      <c r="CI166" s="120"/>
      <c r="CJ166" s="120"/>
      <c r="CK166" s="179" t="str">
        <f t="shared" si="129"/>
        <v/>
      </c>
      <c r="CM166" s="36" t="str">
        <f t="shared" si="119"/>
        <v/>
      </c>
      <c r="CO166" s="36" t="str">
        <f t="shared" si="120"/>
        <v/>
      </c>
      <c r="CS166" s="28" t="str">
        <f t="shared" si="130"/>
        <v/>
      </c>
      <c r="CU166" s="28" t="str">
        <f t="shared" si="130"/>
        <v/>
      </c>
      <c r="CW166" s="28" t="str">
        <f t="shared" si="110"/>
        <v/>
      </c>
      <c r="CY166" s="28" t="str">
        <f t="shared" si="112"/>
        <v/>
      </c>
      <c r="DA166" s="28" t="str">
        <f t="shared" si="113"/>
        <v/>
      </c>
      <c r="DC166" s="28" t="str">
        <f t="shared" si="115"/>
        <v/>
      </c>
      <c r="DN166" s="32">
        <v>165</v>
      </c>
      <c r="DO166" s="34" t="s">
        <v>669</v>
      </c>
      <c r="DP166" s="38">
        <f t="shared" si="131"/>
        <v>0</v>
      </c>
      <c r="DQ166" s="173" t="str">
        <f t="shared" si="122"/>
        <v>(Endu) 0</v>
      </c>
      <c r="DR166" s="36" t="str">
        <f t="shared" si="123"/>
        <v/>
      </c>
      <c r="DV166" s="176">
        <f t="shared" si="117"/>
        <v>0</v>
      </c>
      <c r="DW166" s="243">
        <f>IF(COUNTIF('Char Sheet p1'!$AP$7:$AP$35,DQ166)=0,0,ROUNDDOWN(SUMIF('Char Sheet p1'!$AP$7:$AP$35,DQ166,'Char Sheet p1'!$AQ$7:$AQ$35)/10,0))</f>
        <v>0</v>
      </c>
      <c r="DX166" s="240">
        <f t="shared" si="124"/>
        <v>0</v>
      </c>
      <c r="DY166" s="36">
        <f t="shared" si="134"/>
        <v>9</v>
      </c>
      <c r="DZ166" s="36" t="str">
        <f t="shared" si="118"/>
        <v/>
      </c>
      <c r="EE166" s="36">
        <f t="shared" si="132"/>
        <v>3</v>
      </c>
    </row>
    <row r="167" spans="33:135">
      <c r="AG167" s="32"/>
      <c r="AH167" s="34"/>
      <c r="AI167" s="34"/>
      <c r="AJ167" s="31"/>
      <c r="AK167" s="31"/>
      <c r="AL167" s="31" t="str">
        <f t="shared" si="133"/>
        <v/>
      </c>
      <c r="AM167" s="31"/>
      <c r="AN167" s="31">
        <f t="shared" si="125"/>
        <v>166</v>
      </c>
      <c r="AO167" s="35"/>
      <c r="AP167" s="134"/>
      <c r="AQ167" s="47"/>
      <c r="AR167" s="134"/>
      <c r="AS167" s="47"/>
      <c r="AT167" s="134"/>
      <c r="AU167" s="47"/>
      <c r="AV167" s="134"/>
      <c r="AW167" s="47"/>
      <c r="AX167" s="134"/>
      <c r="AY167" s="47"/>
      <c r="AZ167" s="134"/>
      <c r="BA167" s="47"/>
      <c r="BB167" s="134"/>
      <c r="BC167" s="47"/>
      <c r="BD167" s="134"/>
      <c r="BE167" s="47"/>
      <c r="BF167" s="134"/>
      <c r="BG167" s="47"/>
      <c r="BH167" s="134"/>
      <c r="BI167" s="47"/>
      <c r="BJ167" s="134"/>
      <c r="BK167" s="47"/>
      <c r="BL167" s="134"/>
      <c r="BM167" s="47"/>
      <c r="BN167" s="134"/>
      <c r="BO167" s="47"/>
      <c r="BP167" s="134"/>
      <c r="BQ167" s="47"/>
      <c r="BR167" s="134"/>
      <c r="BS167" s="47"/>
      <c r="BT167" s="134"/>
      <c r="BU167" s="47"/>
      <c r="BV167" s="134"/>
      <c r="BW167" s="47"/>
      <c r="BX167" s="134"/>
      <c r="BY167" s="47"/>
      <c r="BZ167" s="134"/>
      <c r="CA167" s="47"/>
      <c r="CB167" s="120"/>
      <c r="CC167" s="120"/>
      <c r="CD167" s="120"/>
      <c r="CE167" s="120"/>
      <c r="CF167" s="120"/>
      <c r="CG167" s="120"/>
      <c r="CH167" s="120"/>
      <c r="CI167" s="120"/>
      <c r="CJ167" s="120"/>
      <c r="CK167" s="179" t="str">
        <f t="shared" si="129"/>
        <v/>
      </c>
      <c r="CM167" s="36" t="str">
        <f t="shared" si="119"/>
        <v/>
      </c>
      <c r="CO167" s="36" t="str">
        <f t="shared" si="120"/>
        <v/>
      </c>
      <c r="CS167" s="28" t="str">
        <f t="shared" si="130"/>
        <v/>
      </c>
      <c r="CU167" s="28" t="str">
        <f t="shared" si="130"/>
        <v/>
      </c>
      <c r="CW167" s="28" t="str">
        <f t="shared" si="110"/>
        <v/>
      </c>
      <c r="CY167" s="28" t="str">
        <f t="shared" si="112"/>
        <v/>
      </c>
      <c r="DA167" s="28" t="str">
        <f t="shared" si="113"/>
        <v/>
      </c>
      <c r="DC167" s="28" t="str">
        <f t="shared" si="115"/>
        <v/>
      </c>
      <c r="DN167" s="32">
        <v>166</v>
      </c>
      <c r="DO167" s="34" t="s">
        <v>669</v>
      </c>
      <c r="DP167" s="38">
        <f t="shared" si="131"/>
        <v>0</v>
      </c>
      <c r="DQ167" s="173" t="str">
        <f t="shared" si="122"/>
        <v>(Endu) 0</v>
      </c>
      <c r="DR167" s="36" t="str">
        <f t="shared" si="123"/>
        <v/>
      </c>
      <c r="DV167" s="176">
        <f t="shared" si="117"/>
        <v>0</v>
      </c>
      <c r="DW167" s="243">
        <f>IF(COUNTIF('Char Sheet p1'!$AP$7:$AP$35,DQ167)=0,0,ROUNDDOWN(SUMIF('Char Sheet p1'!$AP$7:$AP$35,DQ167,'Char Sheet p1'!$AQ$7:$AQ$35)/10,0))</f>
        <v>0</v>
      </c>
      <c r="DX167" s="240">
        <f t="shared" si="124"/>
        <v>0</v>
      </c>
      <c r="DY167" s="36">
        <f t="shared" si="134"/>
        <v>10</v>
      </c>
      <c r="DZ167" s="36" t="str">
        <f t="shared" si="118"/>
        <v/>
      </c>
      <c r="EE167" s="36">
        <f t="shared" si="132"/>
        <v>3</v>
      </c>
    </row>
    <row r="168" spans="33:135">
      <c r="AG168" s="32"/>
      <c r="AH168" s="34"/>
      <c r="AI168" s="34"/>
      <c r="AJ168" s="31"/>
      <c r="AK168" s="31"/>
      <c r="AL168" s="31" t="str">
        <f t="shared" si="133"/>
        <v/>
      </c>
      <c r="AM168" s="31"/>
      <c r="AN168" s="31">
        <f t="shared" si="125"/>
        <v>167</v>
      </c>
      <c r="AO168" s="35"/>
      <c r="AP168" s="134"/>
      <c r="AQ168" s="47"/>
      <c r="AR168" s="134"/>
      <c r="AS168" s="47"/>
      <c r="AT168" s="134"/>
      <c r="AU168" s="47"/>
      <c r="AV168" s="134"/>
      <c r="AW168" s="47"/>
      <c r="AX168" s="134"/>
      <c r="AY168" s="47"/>
      <c r="AZ168" s="134"/>
      <c r="BA168" s="47"/>
      <c r="BB168" s="134"/>
      <c r="BC168" s="47"/>
      <c r="BD168" s="134"/>
      <c r="BE168" s="47"/>
      <c r="BF168" s="134"/>
      <c r="BG168" s="47"/>
      <c r="BH168" s="134"/>
      <c r="BI168" s="47"/>
      <c r="BJ168" s="134"/>
      <c r="BK168" s="47"/>
      <c r="BL168" s="134"/>
      <c r="BM168" s="47"/>
      <c r="BN168" s="134"/>
      <c r="BO168" s="47"/>
      <c r="BP168" s="134"/>
      <c r="BQ168" s="47"/>
      <c r="BR168" s="134"/>
      <c r="BS168" s="47"/>
      <c r="BT168" s="134"/>
      <c r="BU168" s="47"/>
      <c r="BV168" s="134"/>
      <c r="BW168" s="47"/>
      <c r="BX168" s="134"/>
      <c r="BY168" s="47"/>
      <c r="BZ168" s="134"/>
      <c r="CA168" s="47"/>
      <c r="CB168" s="120"/>
      <c r="CC168" s="120"/>
      <c r="CD168" s="120"/>
      <c r="CE168" s="120"/>
      <c r="CF168" s="120"/>
      <c r="CG168" s="120"/>
      <c r="CH168" s="120"/>
      <c r="CI168" s="120"/>
      <c r="CJ168" s="120"/>
      <c r="CK168" s="179" t="str">
        <f t="shared" si="129"/>
        <v/>
      </c>
      <c r="CM168" s="36" t="str">
        <f t="shared" si="119"/>
        <v/>
      </c>
      <c r="CO168" s="36" t="str">
        <f t="shared" si="120"/>
        <v/>
      </c>
      <c r="CS168" s="28" t="str">
        <f t="shared" si="130"/>
        <v/>
      </c>
      <c r="CU168" s="28" t="str">
        <f t="shared" si="130"/>
        <v/>
      </c>
      <c r="CW168" s="28" t="str">
        <f t="shared" si="110"/>
        <v/>
      </c>
      <c r="CY168" s="28" t="str">
        <f t="shared" si="112"/>
        <v/>
      </c>
      <c r="DA168" s="28" t="str">
        <f t="shared" si="113"/>
        <v/>
      </c>
      <c r="DC168" s="28" t="str">
        <f t="shared" si="115"/>
        <v/>
      </c>
      <c r="DN168" s="32">
        <v>167</v>
      </c>
      <c r="DO168" s="34" t="s">
        <v>669</v>
      </c>
      <c r="DP168" s="38">
        <f t="shared" si="131"/>
        <v>0</v>
      </c>
      <c r="DQ168" s="173" t="str">
        <f t="shared" si="122"/>
        <v>(Endu) 0</v>
      </c>
      <c r="DR168" s="36" t="str">
        <f t="shared" si="123"/>
        <v/>
      </c>
      <c r="DV168" s="176">
        <f t="shared" si="117"/>
        <v>0</v>
      </c>
      <c r="DW168" s="243">
        <f>IF(COUNTIF('Char Sheet p1'!$AP$7:$AP$35,DQ168)=0,0,ROUNDDOWN(SUMIF('Char Sheet p1'!$AP$7:$AP$35,DQ168,'Char Sheet p1'!$AQ$7:$AQ$35)/10,0))</f>
        <v>0</v>
      </c>
      <c r="DX168" s="240">
        <f t="shared" si="124"/>
        <v>0</v>
      </c>
      <c r="DY168" s="36">
        <f t="shared" si="134"/>
        <v>11</v>
      </c>
      <c r="DZ168" s="36" t="str">
        <f t="shared" si="118"/>
        <v/>
      </c>
      <c r="EE168" s="36">
        <f t="shared" si="132"/>
        <v>3</v>
      </c>
    </row>
    <row r="169" spans="33:135">
      <c r="AG169" s="32"/>
      <c r="AH169" s="34"/>
      <c r="AI169" s="34"/>
      <c r="AJ169" s="31"/>
      <c r="AK169" s="31"/>
      <c r="AL169" s="31" t="str">
        <f t="shared" si="133"/>
        <v/>
      </c>
      <c r="AM169" s="31"/>
      <c r="AN169" s="31">
        <f t="shared" si="125"/>
        <v>168</v>
      </c>
      <c r="AO169" s="35"/>
      <c r="AP169" s="134"/>
      <c r="AQ169" s="47"/>
      <c r="AR169" s="134"/>
      <c r="AS169" s="47"/>
      <c r="AT169" s="134"/>
      <c r="AU169" s="47"/>
      <c r="AV169" s="134"/>
      <c r="AW169" s="47"/>
      <c r="AX169" s="134"/>
      <c r="AY169" s="47"/>
      <c r="AZ169" s="134"/>
      <c r="BA169" s="47"/>
      <c r="BB169" s="134"/>
      <c r="BC169" s="47"/>
      <c r="BD169" s="134"/>
      <c r="BE169" s="47"/>
      <c r="BF169" s="134"/>
      <c r="BG169" s="47"/>
      <c r="BH169" s="134"/>
      <c r="BI169" s="47"/>
      <c r="BJ169" s="134"/>
      <c r="BK169" s="47"/>
      <c r="BL169" s="134"/>
      <c r="BM169" s="47"/>
      <c r="BN169" s="134"/>
      <c r="BO169" s="47"/>
      <c r="BP169" s="134"/>
      <c r="BQ169" s="47"/>
      <c r="BR169" s="134"/>
      <c r="BS169" s="47"/>
      <c r="BT169" s="134"/>
      <c r="BU169" s="47"/>
      <c r="BV169" s="134"/>
      <c r="BW169" s="47"/>
      <c r="BX169" s="134"/>
      <c r="BY169" s="47"/>
      <c r="BZ169" s="134"/>
      <c r="CA169" s="47"/>
      <c r="CB169" s="120"/>
      <c r="CC169" s="120"/>
      <c r="CD169" s="120"/>
      <c r="CE169" s="120"/>
      <c r="CF169" s="120"/>
      <c r="CG169" s="120"/>
      <c r="CH169" s="120"/>
      <c r="CI169" s="120"/>
      <c r="CJ169" s="120"/>
      <c r="CK169" s="179" t="str">
        <f t="shared" si="129"/>
        <v/>
      </c>
      <c r="CM169" s="36" t="str">
        <f t="shared" si="119"/>
        <v/>
      </c>
      <c r="CO169" s="36" t="str">
        <f t="shared" si="120"/>
        <v/>
      </c>
      <c r="CS169" s="28" t="str">
        <f t="shared" si="130"/>
        <v/>
      </c>
      <c r="CU169" s="28" t="str">
        <f t="shared" si="130"/>
        <v/>
      </c>
      <c r="CW169" s="28" t="str">
        <f t="shared" si="110"/>
        <v/>
      </c>
      <c r="CY169" s="28" t="str">
        <f t="shared" si="112"/>
        <v/>
      </c>
      <c r="DA169" s="28" t="str">
        <f t="shared" si="113"/>
        <v/>
      </c>
      <c r="DC169" s="28" t="str">
        <f t="shared" si="115"/>
        <v/>
      </c>
      <c r="DN169" s="32">
        <v>168</v>
      </c>
      <c r="DO169" s="34" t="s">
        <v>669</v>
      </c>
      <c r="DP169" s="38">
        <f t="shared" si="131"/>
        <v>0</v>
      </c>
      <c r="DQ169" s="173" t="str">
        <f t="shared" si="122"/>
        <v>(Endu) 0</v>
      </c>
      <c r="DR169" s="36" t="str">
        <f t="shared" si="123"/>
        <v/>
      </c>
      <c r="DV169" s="176">
        <f t="shared" si="117"/>
        <v>0</v>
      </c>
      <c r="DW169" s="243">
        <f>IF(COUNTIF('Char Sheet p1'!$AP$7:$AP$35,DQ169)=0,0,ROUNDDOWN(SUMIF('Char Sheet p1'!$AP$7:$AP$35,DQ169,'Char Sheet p1'!$AQ$7:$AQ$35)/10,0))</f>
        <v>0</v>
      </c>
      <c r="DX169" s="240">
        <f t="shared" si="124"/>
        <v>0</v>
      </c>
      <c r="DY169" s="36">
        <f t="shared" si="134"/>
        <v>12</v>
      </c>
      <c r="DZ169" s="36" t="str">
        <f t="shared" si="118"/>
        <v/>
      </c>
      <c r="EE169" s="36">
        <f t="shared" si="132"/>
        <v>3</v>
      </c>
    </row>
    <row r="170" spans="33:135">
      <c r="AG170" s="32"/>
      <c r="AH170" s="34"/>
      <c r="AI170" s="34"/>
      <c r="AJ170" s="31"/>
      <c r="AK170" s="31"/>
      <c r="AL170" s="31" t="str">
        <f t="shared" si="133"/>
        <v/>
      </c>
      <c r="AM170" s="31"/>
      <c r="AN170" s="31">
        <f t="shared" si="125"/>
        <v>169</v>
      </c>
      <c r="AO170" s="35"/>
      <c r="AP170" s="134"/>
      <c r="AQ170" s="47"/>
      <c r="AR170" s="134"/>
      <c r="AS170" s="47"/>
      <c r="AT170" s="134"/>
      <c r="AU170" s="47"/>
      <c r="AV170" s="134"/>
      <c r="AW170" s="47"/>
      <c r="AX170" s="134"/>
      <c r="AY170" s="47"/>
      <c r="AZ170" s="134"/>
      <c r="BA170" s="47"/>
      <c r="BB170" s="134"/>
      <c r="BC170" s="47"/>
      <c r="BD170" s="134"/>
      <c r="BE170" s="47"/>
      <c r="BF170" s="134"/>
      <c r="BG170" s="47"/>
      <c r="BH170" s="134"/>
      <c r="BI170" s="47"/>
      <c r="BJ170" s="134"/>
      <c r="BK170" s="47"/>
      <c r="BL170" s="134"/>
      <c r="BM170" s="47"/>
      <c r="BN170" s="134"/>
      <c r="BO170" s="47"/>
      <c r="BP170" s="134"/>
      <c r="BQ170" s="47"/>
      <c r="BR170" s="134"/>
      <c r="BS170" s="47"/>
      <c r="BT170" s="134"/>
      <c r="BU170" s="47"/>
      <c r="BV170" s="134"/>
      <c r="BW170" s="47"/>
      <c r="BX170" s="134"/>
      <c r="BY170" s="47"/>
      <c r="BZ170" s="134"/>
      <c r="CA170" s="47"/>
      <c r="CB170" s="120"/>
      <c r="CC170" s="120"/>
      <c r="CD170" s="120"/>
      <c r="CE170" s="120"/>
      <c r="CF170" s="120"/>
      <c r="CG170" s="120"/>
      <c r="CH170" s="120"/>
      <c r="CI170" s="120"/>
      <c r="CJ170" s="120"/>
      <c r="CK170" s="179" t="str">
        <f t="shared" si="129"/>
        <v/>
      </c>
      <c r="CM170" s="36" t="str">
        <f t="shared" si="119"/>
        <v/>
      </c>
      <c r="CO170" s="36" t="str">
        <f t="shared" si="120"/>
        <v/>
      </c>
      <c r="CS170" s="28" t="str">
        <f t="shared" si="130"/>
        <v/>
      </c>
      <c r="CU170" s="28" t="str">
        <f t="shared" si="130"/>
        <v/>
      </c>
      <c r="CW170" s="28" t="str">
        <f t="shared" si="110"/>
        <v/>
      </c>
      <c r="CY170" s="28" t="str">
        <f t="shared" si="112"/>
        <v/>
      </c>
      <c r="DA170" s="28" t="str">
        <f t="shared" si="113"/>
        <v/>
      </c>
      <c r="DC170" s="28" t="str">
        <f t="shared" si="115"/>
        <v/>
      </c>
      <c r="DN170" s="32">
        <v>169</v>
      </c>
      <c r="DO170" s="34" t="s">
        <v>669</v>
      </c>
      <c r="DP170" s="38">
        <f t="shared" si="131"/>
        <v>0</v>
      </c>
      <c r="DQ170" s="173" t="str">
        <f t="shared" si="122"/>
        <v>(Endu) 0</v>
      </c>
      <c r="DR170" s="36" t="str">
        <f t="shared" si="123"/>
        <v/>
      </c>
      <c r="DV170" s="176">
        <f t="shared" si="117"/>
        <v>0</v>
      </c>
      <c r="DW170" s="243">
        <f>IF(COUNTIF('Char Sheet p1'!$AP$7:$AP$35,DQ170)=0,0,ROUNDDOWN(SUMIF('Char Sheet p1'!$AP$7:$AP$35,DQ170,'Char Sheet p1'!$AQ$7:$AQ$35)/10,0))</f>
        <v>0</v>
      </c>
      <c r="DX170" s="240">
        <f t="shared" si="124"/>
        <v>0</v>
      </c>
      <c r="DY170" s="36">
        <f t="shared" si="134"/>
        <v>13</v>
      </c>
      <c r="DZ170" s="36" t="str">
        <f t="shared" si="118"/>
        <v/>
      </c>
      <c r="EE170" s="36">
        <f t="shared" si="132"/>
        <v>3</v>
      </c>
    </row>
    <row r="171" spans="33:135">
      <c r="AG171" s="32"/>
      <c r="AH171" s="34"/>
      <c r="AI171" s="34"/>
      <c r="AJ171" s="31"/>
      <c r="AK171" s="31"/>
      <c r="AL171" s="31" t="str">
        <f t="shared" si="133"/>
        <v/>
      </c>
      <c r="AM171" s="31"/>
      <c r="AN171" s="31">
        <f t="shared" si="125"/>
        <v>170</v>
      </c>
      <c r="AO171" s="35"/>
      <c r="AP171" s="134"/>
      <c r="AQ171" s="47"/>
      <c r="AR171" s="134"/>
      <c r="AS171" s="47"/>
      <c r="AT171" s="134"/>
      <c r="AU171" s="47"/>
      <c r="AV171" s="134"/>
      <c r="AW171" s="47"/>
      <c r="AX171" s="134"/>
      <c r="AY171" s="47"/>
      <c r="AZ171" s="134"/>
      <c r="BA171" s="47"/>
      <c r="BB171" s="134"/>
      <c r="BC171" s="47"/>
      <c r="BD171" s="134"/>
      <c r="BE171" s="47"/>
      <c r="BF171" s="134"/>
      <c r="BG171" s="47"/>
      <c r="BH171" s="134"/>
      <c r="BI171" s="47"/>
      <c r="BJ171" s="134"/>
      <c r="BK171" s="47"/>
      <c r="BL171" s="134"/>
      <c r="BM171" s="47"/>
      <c r="BN171" s="134"/>
      <c r="BO171" s="47"/>
      <c r="BP171" s="134"/>
      <c r="BQ171" s="47"/>
      <c r="BR171" s="134"/>
      <c r="BS171" s="47"/>
      <c r="BT171" s="134"/>
      <c r="BU171" s="47"/>
      <c r="BV171" s="134"/>
      <c r="BW171" s="47"/>
      <c r="BX171" s="134"/>
      <c r="BY171" s="47"/>
      <c r="BZ171" s="134"/>
      <c r="CA171" s="47"/>
      <c r="CB171" s="120"/>
      <c r="CC171" s="120"/>
      <c r="CD171" s="120"/>
      <c r="CE171" s="120"/>
      <c r="CF171" s="120"/>
      <c r="CG171" s="120"/>
      <c r="CH171" s="120"/>
      <c r="CI171" s="120"/>
      <c r="CJ171" s="120"/>
      <c r="CK171" s="179" t="str">
        <f t="shared" si="129"/>
        <v/>
      </c>
      <c r="CM171" s="36" t="str">
        <f t="shared" si="119"/>
        <v/>
      </c>
      <c r="CO171" s="36" t="str">
        <f t="shared" si="120"/>
        <v/>
      </c>
      <c r="CS171" s="28" t="str">
        <f t="shared" si="130"/>
        <v/>
      </c>
      <c r="CU171" s="28" t="str">
        <f t="shared" si="130"/>
        <v/>
      </c>
      <c r="CW171" s="28" t="str">
        <f t="shared" si="110"/>
        <v/>
      </c>
      <c r="CY171" s="28" t="str">
        <f t="shared" si="112"/>
        <v/>
      </c>
      <c r="DA171" s="28" t="str">
        <f t="shared" si="113"/>
        <v/>
      </c>
      <c r="DC171" s="28" t="str">
        <f t="shared" si="115"/>
        <v/>
      </c>
      <c r="DN171" s="32">
        <v>170</v>
      </c>
      <c r="DO171" s="34" t="s">
        <v>669</v>
      </c>
      <c r="DP171" s="38">
        <f t="shared" si="131"/>
        <v>0</v>
      </c>
      <c r="DQ171" s="173" t="str">
        <f t="shared" si="122"/>
        <v>(Endu) 0</v>
      </c>
      <c r="DR171" s="36" t="str">
        <f t="shared" si="123"/>
        <v/>
      </c>
      <c r="DV171" s="176">
        <f t="shared" si="117"/>
        <v>0</v>
      </c>
      <c r="DW171" s="243">
        <f>IF(COUNTIF('Char Sheet p1'!$AP$7:$AP$35,DQ171)=0,0,ROUNDDOWN(SUMIF('Char Sheet p1'!$AP$7:$AP$35,DQ171,'Char Sheet p1'!$AQ$7:$AQ$35)/10,0))</f>
        <v>0</v>
      </c>
      <c r="DX171" s="240">
        <f t="shared" si="124"/>
        <v>0</v>
      </c>
      <c r="DY171" s="36">
        <f t="shared" si="134"/>
        <v>14</v>
      </c>
      <c r="DZ171" s="36" t="str">
        <f t="shared" si="118"/>
        <v/>
      </c>
      <c r="EE171" s="36">
        <f t="shared" si="132"/>
        <v>3</v>
      </c>
    </row>
    <row r="172" spans="33:135">
      <c r="AG172" s="32"/>
      <c r="AH172" s="34"/>
      <c r="AI172" s="34"/>
      <c r="AJ172" s="31"/>
      <c r="AK172" s="31"/>
      <c r="AL172" s="31" t="str">
        <f t="shared" si="133"/>
        <v/>
      </c>
      <c r="AM172" s="31"/>
      <c r="AN172" s="31">
        <f t="shared" si="125"/>
        <v>171</v>
      </c>
      <c r="AO172" s="35"/>
      <c r="AP172" s="134"/>
      <c r="AQ172" s="47"/>
      <c r="AR172" s="134"/>
      <c r="AS172" s="47"/>
      <c r="AT172" s="134"/>
      <c r="AU172" s="47"/>
      <c r="AV172" s="134"/>
      <c r="AW172" s="47"/>
      <c r="AX172" s="134"/>
      <c r="AY172" s="47"/>
      <c r="AZ172" s="134"/>
      <c r="BA172" s="47"/>
      <c r="BB172" s="134"/>
      <c r="BC172" s="47"/>
      <c r="BD172" s="134"/>
      <c r="BE172" s="47"/>
      <c r="BF172" s="134"/>
      <c r="BG172" s="47"/>
      <c r="BH172" s="134"/>
      <c r="BI172" s="47"/>
      <c r="BJ172" s="134"/>
      <c r="BK172" s="47"/>
      <c r="BL172" s="134"/>
      <c r="BM172" s="47"/>
      <c r="BN172" s="134"/>
      <c r="BO172" s="47"/>
      <c r="BP172" s="134"/>
      <c r="BQ172" s="47"/>
      <c r="BR172" s="134"/>
      <c r="BS172" s="47"/>
      <c r="BT172" s="134"/>
      <c r="BU172" s="47"/>
      <c r="BV172" s="134"/>
      <c r="BW172" s="47"/>
      <c r="BX172" s="134"/>
      <c r="BY172" s="47"/>
      <c r="BZ172" s="134"/>
      <c r="CA172" s="47"/>
      <c r="CB172" s="120"/>
      <c r="CC172" s="120"/>
      <c r="CD172" s="120"/>
      <c r="CE172" s="120"/>
      <c r="CF172" s="120"/>
      <c r="CG172" s="120"/>
      <c r="CH172" s="120"/>
      <c r="CI172" s="120"/>
      <c r="CJ172" s="120"/>
      <c r="CK172" s="179" t="str">
        <f t="shared" si="129"/>
        <v/>
      </c>
      <c r="CM172" s="36" t="str">
        <f t="shared" si="119"/>
        <v/>
      </c>
      <c r="CO172" s="36" t="str">
        <f t="shared" si="120"/>
        <v/>
      </c>
      <c r="CS172" s="28" t="str">
        <f t="shared" si="130"/>
        <v/>
      </c>
      <c r="CU172" s="28" t="str">
        <f t="shared" si="130"/>
        <v/>
      </c>
      <c r="CW172" s="28" t="str">
        <f t="shared" si="110"/>
        <v/>
      </c>
      <c r="CY172" s="28" t="str">
        <f t="shared" si="112"/>
        <v/>
      </c>
      <c r="DA172" s="28" t="str">
        <f t="shared" si="113"/>
        <v/>
      </c>
      <c r="DC172" s="28" t="str">
        <f t="shared" si="115"/>
        <v/>
      </c>
      <c r="DN172" s="32">
        <v>171</v>
      </c>
      <c r="DO172" s="34" t="s">
        <v>669</v>
      </c>
      <c r="DP172" s="38">
        <f t="shared" si="131"/>
        <v>0</v>
      </c>
      <c r="DQ172" s="173" t="str">
        <f t="shared" si="122"/>
        <v>(Endu) 0</v>
      </c>
      <c r="DR172" s="36" t="str">
        <f t="shared" si="123"/>
        <v/>
      </c>
      <c r="DV172" s="176">
        <f t="shared" si="117"/>
        <v>0</v>
      </c>
      <c r="DW172" s="243">
        <f>IF(COUNTIF('Char Sheet p1'!$AP$7:$AP$35,DQ172)=0,0,ROUNDDOWN(SUMIF('Char Sheet p1'!$AP$7:$AP$35,DQ172,'Char Sheet p1'!$AQ$7:$AQ$35)/10,0))</f>
        <v>0</v>
      </c>
      <c r="DX172" s="240">
        <f t="shared" si="124"/>
        <v>0</v>
      </c>
      <c r="DY172" s="36">
        <f t="shared" si="134"/>
        <v>15</v>
      </c>
      <c r="DZ172" s="36" t="str">
        <f t="shared" si="118"/>
        <v/>
      </c>
      <c r="EE172" s="36">
        <f t="shared" si="132"/>
        <v>3</v>
      </c>
    </row>
    <row r="173" spans="33:135">
      <c r="AG173" s="32"/>
      <c r="AH173" s="34"/>
      <c r="AI173" s="34"/>
      <c r="AJ173" s="31"/>
      <c r="AK173" s="31"/>
      <c r="AL173" s="31" t="str">
        <f t="shared" si="133"/>
        <v/>
      </c>
      <c r="AM173" s="31"/>
      <c r="AN173" s="31">
        <f t="shared" si="125"/>
        <v>172</v>
      </c>
      <c r="AO173" s="35"/>
      <c r="AP173" s="134"/>
      <c r="AQ173" s="47"/>
      <c r="AR173" s="134"/>
      <c r="AS173" s="47"/>
      <c r="AT173" s="134"/>
      <c r="AU173" s="47"/>
      <c r="AV173" s="134"/>
      <c r="AW173" s="47"/>
      <c r="AX173" s="134"/>
      <c r="AY173" s="47"/>
      <c r="AZ173" s="134"/>
      <c r="BA173" s="47"/>
      <c r="BB173" s="134"/>
      <c r="BC173" s="47"/>
      <c r="BD173" s="134"/>
      <c r="BE173" s="47"/>
      <c r="BF173" s="134"/>
      <c r="BG173" s="47"/>
      <c r="BH173" s="134"/>
      <c r="BI173" s="47"/>
      <c r="BJ173" s="134"/>
      <c r="BK173" s="47"/>
      <c r="BL173" s="134"/>
      <c r="BM173" s="47"/>
      <c r="BN173" s="134"/>
      <c r="BO173" s="47"/>
      <c r="BP173" s="134"/>
      <c r="BQ173" s="47"/>
      <c r="BR173" s="134"/>
      <c r="BS173" s="47"/>
      <c r="BT173" s="134"/>
      <c r="BU173" s="47"/>
      <c r="BV173" s="134"/>
      <c r="BW173" s="47"/>
      <c r="BX173" s="134"/>
      <c r="BY173" s="47"/>
      <c r="BZ173" s="134"/>
      <c r="CA173" s="47"/>
      <c r="CB173" s="120"/>
      <c r="CC173" s="120"/>
      <c r="CD173" s="120"/>
      <c r="CE173" s="120"/>
      <c r="CF173" s="120"/>
      <c r="CG173" s="120"/>
      <c r="CH173" s="120"/>
      <c r="CI173" s="120"/>
      <c r="CJ173" s="120"/>
      <c r="CK173" s="179" t="str">
        <f t="shared" si="129"/>
        <v/>
      </c>
      <c r="CM173" s="36" t="str">
        <f t="shared" si="119"/>
        <v/>
      </c>
      <c r="CO173" s="36" t="str">
        <f t="shared" si="120"/>
        <v/>
      </c>
      <c r="CS173" s="28" t="str">
        <f t="shared" si="130"/>
        <v/>
      </c>
      <c r="CU173" s="28" t="str">
        <f t="shared" si="130"/>
        <v/>
      </c>
      <c r="CW173" s="28" t="str">
        <f t="shared" si="110"/>
        <v/>
      </c>
      <c r="CY173" s="28" t="str">
        <f t="shared" si="112"/>
        <v/>
      </c>
      <c r="DA173" s="28" t="str">
        <f t="shared" si="113"/>
        <v/>
      </c>
      <c r="DC173" s="28" t="str">
        <f t="shared" si="115"/>
        <v/>
      </c>
      <c r="DN173" s="32">
        <v>172</v>
      </c>
      <c r="DO173" s="34" t="s">
        <v>669</v>
      </c>
      <c r="DP173" s="38">
        <f t="shared" si="131"/>
        <v>0</v>
      </c>
      <c r="DQ173" s="173" t="str">
        <f t="shared" si="122"/>
        <v>(Endu) 0</v>
      </c>
      <c r="DR173" s="36" t="str">
        <f t="shared" si="123"/>
        <v/>
      </c>
      <c r="DV173" s="176">
        <f t="shared" si="117"/>
        <v>0</v>
      </c>
      <c r="DW173" s="243">
        <f>IF(COUNTIF('Char Sheet p1'!$AP$7:$AP$35,DQ173)=0,0,ROUNDDOWN(SUMIF('Char Sheet p1'!$AP$7:$AP$35,DQ173,'Char Sheet p1'!$AQ$7:$AQ$35)/10,0))</f>
        <v>0</v>
      </c>
      <c r="DX173" s="240">
        <f t="shared" si="124"/>
        <v>0</v>
      </c>
      <c r="DY173" s="36">
        <f t="shared" si="134"/>
        <v>16</v>
      </c>
      <c r="DZ173" s="36" t="str">
        <f t="shared" si="118"/>
        <v/>
      </c>
      <c r="EE173" s="36">
        <f t="shared" si="132"/>
        <v>3</v>
      </c>
    </row>
    <row r="174" spans="33:135">
      <c r="AG174" s="32"/>
      <c r="AH174" s="34"/>
      <c r="AI174" s="34"/>
      <c r="AJ174" s="31"/>
      <c r="AK174" s="31"/>
      <c r="AL174" s="31" t="str">
        <f t="shared" si="133"/>
        <v/>
      </c>
      <c r="AM174" s="31"/>
      <c r="AN174" s="31">
        <f t="shared" si="125"/>
        <v>173</v>
      </c>
      <c r="AO174" s="35"/>
      <c r="AP174" s="134"/>
      <c r="AQ174" s="47"/>
      <c r="AR174" s="134"/>
      <c r="AS174" s="47"/>
      <c r="AT174" s="134"/>
      <c r="AU174" s="47"/>
      <c r="AV174" s="134"/>
      <c r="AW174" s="47"/>
      <c r="AX174" s="134"/>
      <c r="AY174" s="47"/>
      <c r="AZ174" s="134"/>
      <c r="BA174" s="47"/>
      <c r="BB174" s="134"/>
      <c r="BC174" s="47"/>
      <c r="BD174" s="134"/>
      <c r="BE174" s="47"/>
      <c r="BF174" s="134"/>
      <c r="BG174" s="47"/>
      <c r="BH174" s="134"/>
      <c r="BI174" s="47"/>
      <c r="BJ174" s="134"/>
      <c r="BK174" s="47"/>
      <c r="BL174" s="134"/>
      <c r="BM174" s="47"/>
      <c r="BN174" s="134"/>
      <c r="BO174" s="47"/>
      <c r="BP174" s="134"/>
      <c r="BQ174" s="47"/>
      <c r="BR174" s="134"/>
      <c r="BS174" s="47"/>
      <c r="BT174" s="134"/>
      <c r="BU174" s="47"/>
      <c r="BV174" s="134"/>
      <c r="BW174" s="47"/>
      <c r="BX174" s="134"/>
      <c r="BY174" s="47"/>
      <c r="BZ174" s="134"/>
      <c r="CA174" s="47"/>
      <c r="CB174" s="120"/>
      <c r="CC174" s="120"/>
      <c r="CD174" s="120"/>
      <c r="CE174" s="120"/>
      <c r="CF174" s="120"/>
      <c r="CG174" s="120"/>
      <c r="CH174" s="120"/>
      <c r="CI174" s="120"/>
      <c r="CJ174" s="120"/>
      <c r="CK174" s="179" t="str">
        <f t="shared" si="129"/>
        <v/>
      </c>
      <c r="CM174" s="36" t="str">
        <f t="shared" si="119"/>
        <v/>
      </c>
      <c r="CO174" s="36" t="str">
        <f t="shared" si="120"/>
        <v/>
      </c>
      <c r="CS174" s="28" t="str">
        <f t="shared" si="130"/>
        <v/>
      </c>
      <c r="CU174" s="28" t="str">
        <f t="shared" si="130"/>
        <v/>
      </c>
      <c r="CW174" s="28" t="str">
        <f t="shared" si="110"/>
        <v/>
      </c>
      <c r="CY174" s="28" t="str">
        <f t="shared" si="112"/>
        <v/>
      </c>
      <c r="DA174" s="28" t="str">
        <f t="shared" si="113"/>
        <v/>
      </c>
      <c r="DC174" s="28" t="str">
        <f t="shared" si="115"/>
        <v/>
      </c>
      <c r="DN174" s="32">
        <v>173</v>
      </c>
      <c r="DO174" s="34" t="s">
        <v>669</v>
      </c>
      <c r="DP174" s="38">
        <f t="shared" si="131"/>
        <v>0</v>
      </c>
      <c r="DQ174" s="173" t="str">
        <f t="shared" si="122"/>
        <v>(Endu) 0</v>
      </c>
      <c r="DR174" s="36" t="str">
        <f t="shared" si="123"/>
        <v/>
      </c>
      <c r="DV174" s="176">
        <f t="shared" si="117"/>
        <v>0</v>
      </c>
      <c r="DW174" s="243">
        <f>IF(COUNTIF('Char Sheet p1'!$AP$7:$AP$35,DQ174)=0,0,ROUNDDOWN(SUMIF('Char Sheet p1'!$AP$7:$AP$35,DQ174,'Char Sheet p1'!$AQ$7:$AQ$35)/10,0))</f>
        <v>0</v>
      </c>
      <c r="DX174" s="240">
        <f t="shared" si="124"/>
        <v>0</v>
      </c>
      <c r="DY174" s="36">
        <f t="shared" si="134"/>
        <v>17</v>
      </c>
      <c r="DZ174" s="36" t="str">
        <f t="shared" si="118"/>
        <v/>
      </c>
      <c r="EE174" s="36">
        <f t="shared" si="132"/>
        <v>3</v>
      </c>
    </row>
    <row r="175" spans="33:135">
      <c r="AG175" s="32"/>
      <c r="AH175" s="34"/>
      <c r="AI175" s="34"/>
      <c r="AJ175" s="31"/>
      <c r="AK175" s="31"/>
      <c r="AL175" s="31" t="str">
        <f t="shared" si="133"/>
        <v/>
      </c>
      <c r="AM175" s="31"/>
      <c r="AN175" s="31">
        <f t="shared" si="125"/>
        <v>174</v>
      </c>
      <c r="AO175" s="35"/>
      <c r="AP175" s="134"/>
      <c r="AQ175" s="47"/>
      <c r="AR175" s="134"/>
      <c r="AS175" s="47"/>
      <c r="AT175" s="134"/>
      <c r="AU175" s="47"/>
      <c r="AV175" s="134"/>
      <c r="AW175" s="47"/>
      <c r="AX175" s="134"/>
      <c r="AY175" s="47"/>
      <c r="AZ175" s="134"/>
      <c r="BA175" s="47"/>
      <c r="BB175" s="134"/>
      <c r="BC175" s="47"/>
      <c r="BD175" s="134"/>
      <c r="BE175" s="47"/>
      <c r="BF175" s="134"/>
      <c r="BG175" s="47"/>
      <c r="BH175" s="134"/>
      <c r="BI175" s="47"/>
      <c r="BJ175" s="134"/>
      <c r="BK175" s="47"/>
      <c r="BL175" s="134"/>
      <c r="BM175" s="47"/>
      <c r="BN175" s="134"/>
      <c r="BO175" s="47"/>
      <c r="BP175" s="134"/>
      <c r="BQ175" s="47"/>
      <c r="BR175" s="134"/>
      <c r="BS175" s="47"/>
      <c r="BT175" s="134"/>
      <c r="BU175" s="47"/>
      <c r="BV175" s="134"/>
      <c r="BW175" s="47"/>
      <c r="BX175" s="134"/>
      <c r="BY175" s="47"/>
      <c r="BZ175" s="134"/>
      <c r="CA175" s="47"/>
      <c r="CB175" s="120"/>
      <c r="CC175" s="120"/>
      <c r="CD175" s="120"/>
      <c r="CE175" s="120"/>
      <c r="CF175" s="120"/>
      <c r="CG175" s="120"/>
      <c r="CH175" s="120"/>
      <c r="CI175" s="120"/>
      <c r="CJ175" s="120"/>
      <c r="CK175" s="179" t="str">
        <f t="shared" si="129"/>
        <v/>
      </c>
      <c r="CM175" s="36" t="str">
        <f t="shared" si="119"/>
        <v/>
      </c>
      <c r="CO175" s="36" t="str">
        <f t="shared" si="120"/>
        <v/>
      </c>
      <c r="CS175" s="28" t="str">
        <f t="shared" si="130"/>
        <v/>
      </c>
      <c r="CU175" s="28" t="str">
        <f t="shared" si="130"/>
        <v/>
      </c>
      <c r="CW175" s="28" t="str">
        <f t="shared" si="110"/>
        <v/>
      </c>
      <c r="CY175" s="28" t="str">
        <f t="shared" si="112"/>
        <v/>
      </c>
      <c r="DA175" s="28" t="str">
        <f t="shared" si="113"/>
        <v/>
      </c>
      <c r="DC175" s="28" t="str">
        <f t="shared" si="115"/>
        <v/>
      </c>
      <c r="DN175" s="32">
        <v>174</v>
      </c>
      <c r="DO175" s="34" t="s">
        <v>669</v>
      </c>
      <c r="DP175" s="38">
        <f t="shared" si="131"/>
        <v>0</v>
      </c>
      <c r="DQ175" s="173" t="str">
        <f t="shared" si="122"/>
        <v>(Endu) 0</v>
      </c>
      <c r="DR175" s="36" t="str">
        <f t="shared" si="123"/>
        <v/>
      </c>
      <c r="DV175" s="176">
        <f t="shared" si="117"/>
        <v>0</v>
      </c>
      <c r="DW175" s="243">
        <f>IF(COUNTIF('Char Sheet p1'!$AP$7:$AP$35,DQ175)=0,0,ROUNDDOWN(SUMIF('Char Sheet p1'!$AP$7:$AP$35,DQ175,'Char Sheet p1'!$AQ$7:$AQ$35)/10,0))</f>
        <v>0</v>
      </c>
      <c r="DX175" s="240">
        <f t="shared" si="124"/>
        <v>0</v>
      </c>
      <c r="DY175" s="36">
        <f t="shared" si="134"/>
        <v>18</v>
      </c>
      <c r="DZ175" s="36" t="str">
        <f t="shared" si="118"/>
        <v/>
      </c>
      <c r="EE175" s="36">
        <f t="shared" si="132"/>
        <v>3</v>
      </c>
    </row>
    <row r="176" spans="33:135">
      <c r="AG176" s="32"/>
      <c r="AH176" s="34"/>
      <c r="AI176" s="34"/>
      <c r="AJ176" s="31"/>
      <c r="AK176" s="31"/>
      <c r="AL176" s="31" t="str">
        <f t="shared" si="133"/>
        <v/>
      </c>
      <c r="AM176" s="31"/>
      <c r="AN176" s="31">
        <f t="shared" si="125"/>
        <v>175</v>
      </c>
      <c r="AO176" s="35"/>
      <c r="AP176" s="134"/>
      <c r="AQ176" s="47"/>
      <c r="AR176" s="134"/>
      <c r="AS176" s="47"/>
      <c r="AT176" s="134"/>
      <c r="AU176" s="47"/>
      <c r="AV176" s="134"/>
      <c r="AW176" s="47"/>
      <c r="AX176" s="134"/>
      <c r="AY176" s="47"/>
      <c r="AZ176" s="134"/>
      <c r="BA176" s="47"/>
      <c r="BB176" s="134"/>
      <c r="BC176" s="47"/>
      <c r="BD176" s="134"/>
      <c r="BE176" s="47"/>
      <c r="BF176" s="134"/>
      <c r="BG176" s="47"/>
      <c r="BH176" s="134"/>
      <c r="BI176" s="47"/>
      <c r="BJ176" s="134"/>
      <c r="BK176" s="47"/>
      <c r="BL176" s="134"/>
      <c r="BM176" s="47"/>
      <c r="BN176" s="134"/>
      <c r="BO176" s="47"/>
      <c r="BP176" s="134"/>
      <c r="BQ176" s="47"/>
      <c r="BR176" s="134"/>
      <c r="BS176" s="47"/>
      <c r="BT176" s="134"/>
      <c r="BU176" s="47"/>
      <c r="BV176" s="134"/>
      <c r="BW176" s="47"/>
      <c r="BX176" s="134"/>
      <c r="BY176" s="47"/>
      <c r="BZ176" s="134"/>
      <c r="CA176" s="47"/>
      <c r="CB176" s="120"/>
      <c r="CC176" s="120"/>
      <c r="CD176" s="120"/>
      <c r="CE176" s="120"/>
      <c r="CF176" s="120"/>
      <c r="CG176" s="120"/>
      <c r="CH176" s="120"/>
      <c r="CI176" s="120"/>
      <c r="CJ176" s="120"/>
      <c r="CK176" s="179" t="str">
        <f t="shared" si="129"/>
        <v/>
      </c>
      <c r="CM176" s="36" t="str">
        <f t="shared" si="119"/>
        <v/>
      </c>
      <c r="CO176" s="36" t="str">
        <f t="shared" si="120"/>
        <v/>
      </c>
      <c r="CS176" s="28" t="str">
        <f t="shared" si="130"/>
        <v/>
      </c>
      <c r="CU176" s="28" t="str">
        <f t="shared" si="130"/>
        <v/>
      </c>
      <c r="CW176" s="28" t="str">
        <f t="shared" si="110"/>
        <v/>
      </c>
      <c r="CY176" s="28" t="str">
        <f t="shared" si="112"/>
        <v/>
      </c>
      <c r="DA176" s="28" t="str">
        <f t="shared" si="113"/>
        <v/>
      </c>
      <c r="DC176" s="28" t="str">
        <f t="shared" si="115"/>
        <v/>
      </c>
      <c r="DN176" s="32">
        <v>175</v>
      </c>
      <c r="DO176" s="34" t="s">
        <v>669</v>
      </c>
      <c r="DP176" s="38">
        <f t="shared" si="131"/>
        <v>0</v>
      </c>
      <c r="DQ176" s="173" t="str">
        <f t="shared" si="122"/>
        <v>(Endu) 0</v>
      </c>
      <c r="DR176" s="36" t="str">
        <f t="shared" si="123"/>
        <v/>
      </c>
      <c r="DV176" s="176">
        <f t="shared" si="117"/>
        <v>0</v>
      </c>
      <c r="DW176" s="243">
        <f>IF(COUNTIF('Char Sheet p1'!$AP$7:$AP$35,DQ176)=0,0,ROUNDDOWN(SUMIF('Char Sheet p1'!$AP$7:$AP$35,DQ176,'Char Sheet p1'!$AQ$7:$AQ$35)/10,0))</f>
        <v>0</v>
      </c>
      <c r="DX176" s="240">
        <f t="shared" si="124"/>
        <v>0</v>
      </c>
      <c r="DY176" s="36">
        <f t="shared" si="134"/>
        <v>19</v>
      </c>
      <c r="DZ176" s="36" t="str">
        <f t="shared" si="118"/>
        <v/>
      </c>
      <c r="EE176" s="36">
        <f t="shared" si="132"/>
        <v>3</v>
      </c>
    </row>
    <row r="177" spans="33:135">
      <c r="AG177" s="32"/>
      <c r="AH177" s="34"/>
      <c r="AI177" s="34"/>
      <c r="AJ177" s="31"/>
      <c r="AK177" s="31"/>
      <c r="AL177" s="31" t="str">
        <f t="shared" si="133"/>
        <v/>
      </c>
      <c r="AM177" s="31"/>
      <c r="AN177" s="31">
        <f t="shared" si="125"/>
        <v>176</v>
      </c>
      <c r="AO177" s="35"/>
      <c r="AP177" s="134"/>
      <c r="AQ177" s="47"/>
      <c r="AR177" s="134"/>
      <c r="AS177" s="47"/>
      <c r="AT177" s="134"/>
      <c r="AU177" s="47"/>
      <c r="AV177" s="134"/>
      <c r="AW177" s="47"/>
      <c r="AX177" s="134"/>
      <c r="AY177" s="47"/>
      <c r="AZ177" s="134"/>
      <c r="BA177" s="47"/>
      <c r="BB177" s="134"/>
      <c r="BC177" s="47"/>
      <c r="BD177" s="134"/>
      <c r="BE177" s="47"/>
      <c r="BF177" s="134"/>
      <c r="BG177" s="47"/>
      <c r="BH177" s="134"/>
      <c r="BI177" s="47"/>
      <c r="BJ177" s="134"/>
      <c r="BK177" s="47"/>
      <c r="BL177" s="134"/>
      <c r="BM177" s="47"/>
      <c r="BN177" s="134"/>
      <c r="BO177" s="47"/>
      <c r="BP177" s="134"/>
      <c r="BQ177" s="47"/>
      <c r="BR177" s="134"/>
      <c r="BS177" s="47"/>
      <c r="BT177" s="134"/>
      <c r="BU177" s="47"/>
      <c r="BV177" s="134"/>
      <c r="BW177" s="47"/>
      <c r="BX177" s="134"/>
      <c r="BY177" s="47"/>
      <c r="BZ177" s="134"/>
      <c r="CA177" s="47"/>
      <c r="CB177" s="120"/>
      <c r="CC177" s="120"/>
      <c r="CD177" s="120"/>
      <c r="CE177" s="120"/>
      <c r="CF177" s="120"/>
      <c r="CG177" s="120"/>
      <c r="CH177" s="120"/>
      <c r="CI177" s="120"/>
      <c r="CJ177" s="120"/>
      <c r="CK177" s="179" t="str">
        <f t="shared" si="129"/>
        <v/>
      </c>
      <c r="CM177" s="36" t="str">
        <f t="shared" si="119"/>
        <v/>
      </c>
      <c r="CO177" s="36" t="str">
        <f t="shared" si="120"/>
        <v/>
      </c>
      <c r="CS177" s="28" t="str">
        <f t="shared" si="130"/>
        <v/>
      </c>
      <c r="CU177" s="28" t="str">
        <f t="shared" si="130"/>
        <v/>
      </c>
      <c r="CW177" s="28" t="str">
        <f t="shared" si="110"/>
        <v/>
      </c>
      <c r="CY177" s="28" t="str">
        <f t="shared" si="112"/>
        <v/>
      </c>
      <c r="DA177" s="28" t="str">
        <f t="shared" si="113"/>
        <v/>
      </c>
      <c r="DC177" s="28" t="str">
        <f t="shared" si="115"/>
        <v/>
      </c>
      <c r="DN177" s="32">
        <v>176</v>
      </c>
      <c r="DO177" s="34" t="s">
        <v>669</v>
      </c>
      <c r="DP177" s="38">
        <f t="shared" si="131"/>
        <v>0</v>
      </c>
      <c r="DQ177" s="173" t="str">
        <f t="shared" si="122"/>
        <v>(Endu) 0</v>
      </c>
      <c r="DR177" s="36" t="str">
        <f t="shared" si="123"/>
        <v/>
      </c>
      <c r="DV177" s="176">
        <f t="shared" si="117"/>
        <v>0</v>
      </c>
      <c r="DW177" s="243">
        <f>IF(COUNTIF('Char Sheet p1'!$AP$7:$AP$35,DQ177)=0,0,ROUNDDOWN(SUMIF('Char Sheet p1'!$AP$7:$AP$35,DQ177,'Char Sheet p1'!$AQ$7:$AQ$35)/10,0))</f>
        <v>0</v>
      </c>
      <c r="DX177" s="240">
        <f t="shared" si="124"/>
        <v>0</v>
      </c>
      <c r="DY177" s="36">
        <f t="shared" si="134"/>
        <v>20</v>
      </c>
      <c r="DZ177" s="36" t="str">
        <f t="shared" si="118"/>
        <v/>
      </c>
      <c r="EE177" s="36">
        <f t="shared" si="132"/>
        <v>3</v>
      </c>
    </row>
    <row r="178" spans="33:135">
      <c r="AG178" s="32"/>
      <c r="AH178" s="34"/>
      <c r="AI178" s="34"/>
      <c r="AJ178" s="31"/>
      <c r="AK178" s="31"/>
      <c r="AL178" s="31" t="str">
        <f t="shared" si="133"/>
        <v/>
      </c>
      <c r="AM178" s="31"/>
      <c r="AN178" s="31">
        <f t="shared" si="125"/>
        <v>177</v>
      </c>
      <c r="AO178" s="35"/>
      <c r="AP178" s="134"/>
      <c r="AQ178" s="47"/>
      <c r="AR178" s="134"/>
      <c r="AS178" s="47"/>
      <c r="AT178" s="134"/>
      <c r="AU178" s="47"/>
      <c r="AV178" s="134"/>
      <c r="AW178" s="47"/>
      <c r="AX178" s="134"/>
      <c r="AY178" s="47"/>
      <c r="AZ178" s="134"/>
      <c r="BA178" s="47"/>
      <c r="BB178" s="134"/>
      <c r="BC178" s="47"/>
      <c r="BD178" s="134"/>
      <c r="BE178" s="47"/>
      <c r="BF178" s="134"/>
      <c r="BG178" s="47"/>
      <c r="BH178" s="134"/>
      <c r="BI178" s="47"/>
      <c r="BJ178" s="134"/>
      <c r="BK178" s="47"/>
      <c r="BL178" s="134"/>
      <c r="BM178" s="47"/>
      <c r="BN178" s="134"/>
      <c r="BO178" s="47"/>
      <c r="BP178" s="134"/>
      <c r="BQ178" s="47"/>
      <c r="BR178" s="134"/>
      <c r="BS178" s="47"/>
      <c r="BT178" s="134"/>
      <c r="BU178" s="47"/>
      <c r="BV178" s="134"/>
      <c r="BW178" s="47"/>
      <c r="BX178" s="134"/>
      <c r="BY178" s="47"/>
      <c r="BZ178" s="134"/>
      <c r="CA178" s="47"/>
      <c r="CB178" s="120"/>
      <c r="CC178" s="120"/>
      <c r="CD178" s="120"/>
      <c r="CE178" s="120"/>
      <c r="CF178" s="120"/>
      <c r="CG178" s="120"/>
      <c r="CH178" s="120"/>
      <c r="CI178" s="120"/>
      <c r="CJ178" s="120"/>
      <c r="CK178" s="179" t="str">
        <f t="shared" si="129"/>
        <v/>
      </c>
      <c r="CM178" s="36" t="str">
        <f t="shared" si="119"/>
        <v/>
      </c>
      <c r="CO178" s="36" t="str">
        <f t="shared" si="120"/>
        <v/>
      </c>
      <c r="CS178" s="28" t="str">
        <f t="shared" si="130"/>
        <v/>
      </c>
      <c r="CU178" s="28" t="str">
        <f t="shared" si="130"/>
        <v/>
      </c>
      <c r="CW178" s="28" t="str">
        <f t="shared" si="110"/>
        <v/>
      </c>
      <c r="CY178" s="28" t="str">
        <f t="shared" si="112"/>
        <v/>
      </c>
      <c r="DA178" s="28" t="str">
        <f t="shared" si="113"/>
        <v/>
      </c>
      <c r="DC178" s="28" t="str">
        <f t="shared" si="115"/>
        <v/>
      </c>
      <c r="DN178" s="32">
        <v>177</v>
      </c>
      <c r="DO178" s="34" t="s">
        <v>669</v>
      </c>
      <c r="DP178" s="38">
        <f t="shared" si="131"/>
        <v>0</v>
      </c>
      <c r="DQ178" s="173" t="str">
        <f t="shared" si="122"/>
        <v>(Endu) 0</v>
      </c>
      <c r="DR178" s="36" t="str">
        <f t="shared" si="123"/>
        <v/>
      </c>
      <c r="DV178" s="176">
        <f t="shared" si="117"/>
        <v>0</v>
      </c>
      <c r="DW178" s="243">
        <f>IF(COUNTIF('Char Sheet p1'!$AP$7:$AP$35,DQ178)=0,0,ROUNDDOWN(SUMIF('Char Sheet p1'!$AP$7:$AP$35,DQ178,'Char Sheet p1'!$AQ$7:$AQ$35)/10,0))</f>
        <v>0</v>
      </c>
      <c r="DX178" s="240">
        <f t="shared" si="124"/>
        <v>0</v>
      </c>
      <c r="DY178" s="36">
        <f t="shared" si="134"/>
        <v>21</v>
      </c>
      <c r="DZ178" s="36" t="str">
        <f t="shared" si="118"/>
        <v/>
      </c>
      <c r="EE178" s="36">
        <f t="shared" si="132"/>
        <v>3</v>
      </c>
    </row>
    <row r="179" spans="33:135">
      <c r="AG179" s="32"/>
      <c r="AH179" s="34"/>
      <c r="AI179" s="34"/>
      <c r="AJ179" s="31"/>
      <c r="AK179" s="31"/>
      <c r="AL179" s="31" t="str">
        <f t="shared" si="133"/>
        <v/>
      </c>
      <c r="AM179" s="31"/>
      <c r="AN179" s="31">
        <f t="shared" si="125"/>
        <v>178</v>
      </c>
      <c r="AO179" s="35"/>
      <c r="AP179" s="134"/>
      <c r="AQ179" s="47"/>
      <c r="AR179" s="134"/>
      <c r="AS179" s="47"/>
      <c r="AT179" s="134"/>
      <c r="AU179" s="47"/>
      <c r="AV179" s="134"/>
      <c r="AW179" s="47"/>
      <c r="AX179" s="134"/>
      <c r="AY179" s="47"/>
      <c r="AZ179" s="134"/>
      <c r="BA179" s="47"/>
      <c r="BB179" s="134"/>
      <c r="BC179" s="47"/>
      <c r="BD179" s="134"/>
      <c r="BE179" s="47"/>
      <c r="BF179" s="134"/>
      <c r="BG179" s="47"/>
      <c r="BH179" s="134"/>
      <c r="BI179" s="47"/>
      <c r="BJ179" s="134"/>
      <c r="BK179" s="47"/>
      <c r="BL179" s="134"/>
      <c r="BM179" s="47"/>
      <c r="BN179" s="134"/>
      <c r="BO179" s="47"/>
      <c r="BP179" s="134"/>
      <c r="BQ179" s="47"/>
      <c r="BR179" s="134"/>
      <c r="BS179" s="47"/>
      <c r="BT179" s="134"/>
      <c r="BU179" s="47"/>
      <c r="BV179" s="134"/>
      <c r="BW179" s="47"/>
      <c r="BX179" s="134"/>
      <c r="BY179" s="47"/>
      <c r="BZ179" s="134"/>
      <c r="CA179" s="47"/>
      <c r="CB179" s="120"/>
      <c r="CC179" s="120"/>
      <c r="CD179" s="120"/>
      <c r="CE179" s="120"/>
      <c r="CF179" s="120"/>
      <c r="CG179" s="120"/>
      <c r="CH179" s="120"/>
      <c r="CI179" s="120"/>
      <c r="CJ179" s="120"/>
      <c r="CK179" s="179" t="str">
        <f t="shared" si="129"/>
        <v/>
      </c>
      <c r="CM179" s="36" t="str">
        <f t="shared" si="119"/>
        <v/>
      </c>
      <c r="CO179" s="36" t="str">
        <f t="shared" si="120"/>
        <v/>
      </c>
      <c r="CS179" s="28" t="str">
        <f t="shared" si="130"/>
        <v/>
      </c>
      <c r="CU179" s="28" t="str">
        <f t="shared" si="130"/>
        <v/>
      </c>
      <c r="CW179" s="28" t="str">
        <f t="shared" si="110"/>
        <v/>
      </c>
      <c r="CY179" s="28" t="str">
        <f t="shared" si="112"/>
        <v/>
      </c>
      <c r="DA179" s="28" t="str">
        <f t="shared" si="113"/>
        <v/>
      </c>
      <c r="DC179" s="28" t="str">
        <f t="shared" si="115"/>
        <v/>
      </c>
      <c r="DN179" s="32">
        <v>178</v>
      </c>
      <c r="DO179" s="34" t="s">
        <v>669</v>
      </c>
      <c r="DP179" s="38">
        <f t="shared" si="131"/>
        <v>0</v>
      </c>
      <c r="DQ179" s="173" t="str">
        <f t="shared" si="122"/>
        <v>(Endu) 0</v>
      </c>
      <c r="DR179" s="36" t="str">
        <f t="shared" si="123"/>
        <v/>
      </c>
      <c r="DV179" s="176">
        <f t="shared" si="117"/>
        <v>0</v>
      </c>
      <c r="DW179" s="243">
        <f>IF(COUNTIF('Char Sheet p1'!$AP$7:$AP$35,DQ179)=0,0,ROUNDDOWN(SUMIF('Char Sheet p1'!$AP$7:$AP$35,DQ179,'Char Sheet p1'!$AQ$7:$AQ$35)/10,0))</f>
        <v>0</v>
      </c>
      <c r="DX179" s="240">
        <f t="shared" si="124"/>
        <v>0</v>
      </c>
      <c r="DY179" s="36">
        <f t="shared" si="134"/>
        <v>22</v>
      </c>
      <c r="DZ179" s="36" t="str">
        <f t="shared" si="118"/>
        <v/>
      </c>
      <c r="EE179" s="36">
        <f t="shared" si="132"/>
        <v>3</v>
      </c>
    </row>
    <row r="180" spans="33:135">
      <c r="AG180" s="32"/>
      <c r="AH180" s="34"/>
      <c r="AI180" s="34"/>
      <c r="AJ180" s="31"/>
      <c r="AK180" s="31"/>
      <c r="AL180" s="31" t="str">
        <f t="shared" si="133"/>
        <v/>
      </c>
      <c r="AM180" s="31"/>
      <c r="AN180" s="31">
        <f t="shared" si="125"/>
        <v>179</v>
      </c>
      <c r="AO180" s="35"/>
      <c r="AP180" s="134"/>
      <c r="AQ180" s="47"/>
      <c r="AR180" s="134"/>
      <c r="AS180" s="47"/>
      <c r="AT180" s="134"/>
      <c r="AU180" s="47"/>
      <c r="AV180" s="134"/>
      <c r="AW180" s="47"/>
      <c r="AX180" s="134"/>
      <c r="AY180" s="47"/>
      <c r="AZ180" s="134"/>
      <c r="BA180" s="47"/>
      <c r="BB180" s="134"/>
      <c r="BC180" s="47"/>
      <c r="BD180" s="134"/>
      <c r="BE180" s="47"/>
      <c r="BF180" s="134"/>
      <c r="BG180" s="47"/>
      <c r="BH180" s="134"/>
      <c r="BI180" s="47"/>
      <c r="BJ180" s="134"/>
      <c r="BK180" s="47"/>
      <c r="BL180" s="134"/>
      <c r="BM180" s="47"/>
      <c r="BN180" s="134"/>
      <c r="BO180" s="47"/>
      <c r="BP180" s="134"/>
      <c r="BQ180" s="47"/>
      <c r="BR180" s="134"/>
      <c r="BS180" s="47"/>
      <c r="BT180" s="134"/>
      <c r="BU180" s="47"/>
      <c r="BV180" s="134"/>
      <c r="BW180" s="47"/>
      <c r="BX180" s="134"/>
      <c r="BY180" s="47"/>
      <c r="BZ180" s="134"/>
      <c r="CA180" s="47"/>
      <c r="CB180" s="120"/>
      <c r="CC180" s="120"/>
      <c r="CD180" s="120"/>
      <c r="CE180" s="120"/>
      <c r="CF180" s="120"/>
      <c r="CG180" s="120"/>
      <c r="CH180" s="120"/>
      <c r="CI180" s="120"/>
      <c r="CJ180" s="120"/>
      <c r="CK180" s="179" t="str">
        <f t="shared" si="129"/>
        <v/>
      </c>
      <c r="CM180" s="36" t="str">
        <f t="shared" si="119"/>
        <v/>
      </c>
      <c r="CO180" s="36" t="str">
        <f t="shared" si="120"/>
        <v/>
      </c>
      <c r="CS180" s="28" t="str">
        <f t="shared" si="130"/>
        <v/>
      </c>
      <c r="CU180" s="28" t="str">
        <f t="shared" si="130"/>
        <v/>
      </c>
      <c r="CW180" s="28" t="str">
        <f t="shared" si="110"/>
        <v/>
      </c>
      <c r="CY180" s="28" t="str">
        <f t="shared" si="112"/>
        <v/>
      </c>
      <c r="DA180" s="28" t="str">
        <f t="shared" si="113"/>
        <v/>
      </c>
      <c r="DC180" s="28" t="str">
        <f t="shared" si="115"/>
        <v/>
      </c>
      <c r="DN180" s="32">
        <v>179</v>
      </c>
      <c r="DO180" s="34" t="s">
        <v>669</v>
      </c>
      <c r="DP180" s="38">
        <f t="shared" si="131"/>
        <v>0</v>
      </c>
      <c r="DQ180" s="173" t="str">
        <f t="shared" si="122"/>
        <v>(Endu) 0</v>
      </c>
      <c r="DR180" s="36" t="str">
        <f t="shared" si="123"/>
        <v/>
      </c>
      <c r="DV180" s="176">
        <f t="shared" si="117"/>
        <v>0</v>
      </c>
      <c r="DW180" s="243">
        <f>IF(COUNTIF('Char Sheet p1'!$AP$7:$AP$35,DQ180)=0,0,ROUNDDOWN(SUMIF('Char Sheet p1'!$AP$7:$AP$35,DQ180,'Char Sheet p1'!$AQ$7:$AQ$35)/10,0))</f>
        <v>0</v>
      </c>
      <c r="DX180" s="240">
        <f t="shared" si="124"/>
        <v>0</v>
      </c>
      <c r="DY180" s="36">
        <f t="shared" si="134"/>
        <v>23</v>
      </c>
      <c r="DZ180" s="36" t="str">
        <f t="shared" si="118"/>
        <v/>
      </c>
      <c r="EE180" s="36">
        <f t="shared" si="132"/>
        <v>3</v>
      </c>
    </row>
    <row r="181" spans="33:135">
      <c r="AG181" s="32"/>
      <c r="AH181" s="34"/>
      <c r="AI181" s="34"/>
      <c r="AJ181" s="31"/>
      <c r="AK181" s="31"/>
      <c r="AL181" s="31" t="str">
        <f t="shared" si="133"/>
        <v/>
      </c>
      <c r="AM181" s="31"/>
      <c r="AN181" s="31">
        <f t="shared" si="125"/>
        <v>180</v>
      </c>
      <c r="AO181" s="35"/>
      <c r="AP181" s="134"/>
      <c r="AQ181" s="47"/>
      <c r="AR181" s="134"/>
      <c r="AS181" s="47"/>
      <c r="AT181" s="134"/>
      <c r="AU181" s="47"/>
      <c r="AV181" s="134"/>
      <c r="AW181" s="47"/>
      <c r="AX181" s="134"/>
      <c r="AY181" s="47"/>
      <c r="AZ181" s="134"/>
      <c r="BA181" s="47"/>
      <c r="BB181" s="134"/>
      <c r="BC181" s="47"/>
      <c r="BD181" s="134"/>
      <c r="BE181" s="47"/>
      <c r="BF181" s="134"/>
      <c r="BG181" s="47"/>
      <c r="BH181" s="134"/>
      <c r="BI181" s="47"/>
      <c r="BJ181" s="134"/>
      <c r="BK181" s="47"/>
      <c r="BL181" s="134"/>
      <c r="BM181" s="47"/>
      <c r="BN181" s="134"/>
      <c r="BO181" s="47"/>
      <c r="BP181" s="134"/>
      <c r="BQ181" s="47"/>
      <c r="BR181" s="134"/>
      <c r="BS181" s="47"/>
      <c r="BT181" s="134"/>
      <c r="BU181" s="47"/>
      <c r="BV181" s="134"/>
      <c r="BW181" s="47"/>
      <c r="BX181" s="134"/>
      <c r="BY181" s="47"/>
      <c r="BZ181" s="134"/>
      <c r="CA181" s="47"/>
      <c r="CB181" s="120"/>
      <c r="CC181" s="120"/>
      <c r="CD181" s="120"/>
      <c r="CE181" s="120"/>
      <c r="CF181" s="120"/>
      <c r="CG181" s="120"/>
      <c r="CH181" s="120"/>
      <c r="CI181" s="120"/>
      <c r="CJ181" s="120"/>
      <c r="CK181" s="179" t="str">
        <f t="shared" si="129"/>
        <v/>
      </c>
      <c r="CM181" s="36" t="str">
        <f t="shared" si="119"/>
        <v/>
      </c>
      <c r="CO181" s="36" t="str">
        <f t="shared" si="120"/>
        <v/>
      </c>
      <c r="CS181" s="28" t="str">
        <f t="shared" si="130"/>
        <v/>
      </c>
      <c r="CU181" s="28" t="str">
        <f t="shared" si="130"/>
        <v/>
      </c>
      <c r="CW181" s="28" t="str">
        <f t="shared" si="110"/>
        <v/>
      </c>
      <c r="CY181" s="28" t="str">
        <f t="shared" si="112"/>
        <v/>
      </c>
      <c r="DA181" s="28" t="str">
        <f t="shared" si="113"/>
        <v/>
      </c>
      <c r="DC181" s="28" t="str">
        <f t="shared" si="115"/>
        <v/>
      </c>
      <c r="DN181" s="32">
        <v>180</v>
      </c>
      <c r="DO181" s="34" t="s">
        <v>669</v>
      </c>
      <c r="DP181" s="38">
        <f t="shared" si="131"/>
        <v>0</v>
      </c>
      <c r="DQ181" s="173" t="str">
        <f t="shared" si="122"/>
        <v>(Endu) 0</v>
      </c>
      <c r="DR181" s="36" t="str">
        <f t="shared" si="123"/>
        <v/>
      </c>
      <c r="DV181" s="176">
        <f t="shared" si="117"/>
        <v>0</v>
      </c>
      <c r="DW181" s="243">
        <f>IF(COUNTIF('Char Sheet p1'!$AP$7:$AP$35,DQ181)=0,0,ROUNDDOWN(SUMIF('Char Sheet p1'!$AP$7:$AP$35,DQ181,'Char Sheet p1'!$AQ$7:$AQ$35)/10,0))</f>
        <v>0</v>
      </c>
      <c r="DX181" s="240">
        <f t="shared" si="124"/>
        <v>0</v>
      </c>
      <c r="DY181" s="36">
        <f t="shared" si="134"/>
        <v>24</v>
      </c>
      <c r="DZ181" s="36" t="str">
        <f t="shared" si="118"/>
        <v/>
      </c>
      <c r="EE181" s="36">
        <f t="shared" si="132"/>
        <v>3</v>
      </c>
    </row>
    <row r="182" spans="33:135">
      <c r="AG182" s="32"/>
      <c r="AH182" s="34"/>
      <c r="AI182" s="34"/>
      <c r="AJ182" s="31"/>
      <c r="AK182" s="31"/>
      <c r="AL182" s="31" t="str">
        <f t="shared" si="133"/>
        <v/>
      </c>
      <c r="AM182" s="31"/>
      <c r="AN182" s="31">
        <f t="shared" si="125"/>
        <v>181</v>
      </c>
      <c r="AO182" s="35"/>
      <c r="AP182" s="134"/>
      <c r="AQ182" s="47"/>
      <c r="AR182" s="134"/>
      <c r="AS182" s="47"/>
      <c r="AT182" s="134"/>
      <c r="AU182" s="47"/>
      <c r="AV182" s="134"/>
      <c r="AW182" s="47"/>
      <c r="AX182" s="134"/>
      <c r="AY182" s="47"/>
      <c r="AZ182" s="134"/>
      <c r="BA182" s="47"/>
      <c r="BB182" s="134"/>
      <c r="BC182" s="47"/>
      <c r="BD182" s="134"/>
      <c r="BE182" s="47"/>
      <c r="BF182" s="134"/>
      <c r="BG182" s="47"/>
      <c r="BH182" s="134"/>
      <c r="BI182" s="47"/>
      <c r="BJ182" s="134"/>
      <c r="BK182" s="47"/>
      <c r="BL182" s="134"/>
      <c r="BM182" s="47"/>
      <c r="BN182" s="134"/>
      <c r="BO182" s="47"/>
      <c r="BP182" s="134"/>
      <c r="BQ182" s="47"/>
      <c r="BR182" s="134"/>
      <c r="BS182" s="47"/>
      <c r="BT182" s="134"/>
      <c r="BU182" s="47"/>
      <c r="BV182" s="134"/>
      <c r="BW182" s="47"/>
      <c r="BX182" s="134"/>
      <c r="BY182" s="47"/>
      <c r="BZ182" s="134"/>
      <c r="CA182" s="47"/>
      <c r="CB182" s="120"/>
      <c r="CC182" s="120"/>
      <c r="CD182" s="120"/>
      <c r="CE182" s="120"/>
      <c r="CF182" s="120"/>
      <c r="CG182" s="120"/>
      <c r="CH182" s="120"/>
      <c r="CI182" s="120"/>
      <c r="CJ182" s="120"/>
      <c r="CK182" s="179" t="str">
        <f t="shared" si="129"/>
        <v/>
      </c>
      <c r="CM182" s="36" t="str">
        <f t="shared" si="119"/>
        <v/>
      </c>
      <c r="CO182" s="36" t="str">
        <f t="shared" si="120"/>
        <v/>
      </c>
      <c r="CS182" s="28" t="str">
        <f t="shared" si="130"/>
        <v/>
      </c>
      <c r="CU182" s="28" t="str">
        <f t="shared" si="130"/>
        <v/>
      </c>
      <c r="CW182" s="28" t="str">
        <f t="shared" si="110"/>
        <v/>
      </c>
      <c r="CY182" s="28" t="str">
        <f t="shared" si="112"/>
        <v/>
      </c>
      <c r="DA182" s="28" t="str">
        <f t="shared" si="113"/>
        <v/>
      </c>
      <c r="DC182" s="28" t="str">
        <f t="shared" si="115"/>
        <v/>
      </c>
      <c r="DN182" s="32">
        <v>181</v>
      </c>
      <c r="DO182" s="34" t="s">
        <v>669</v>
      </c>
      <c r="DP182" s="38">
        <f t="shared" si="131"/>
        <v>0</v>
      </c>
      <c r="DQ182" s="173" t="str">
        <f t="shared" si="122"/>
        <v>(Endu) 0</v>
      </c>
      <c r="DR182" s="36" t="str">
        <f t="shared" si="123"/>
        <v/>
      </c>
      <c r="DV182" s="176">
        <f t="shared" si="117"/>
        <v>0</v>
      </c>
      <c r="DW182" s="243">
        <f>IF(COUNTIF('Char Sheet p1'!$AP$7:$AP$35,DQ182)=0,0,ROUNDDOWN(SUMIF('Char Sheet p1'!$AP$7:$AP$35,DQ182,'Char Sheet p1'!$AQ$7:$AQ$35)/10,0))</f>
        <v>0</v>
      </c>
      <c r="DX182" s="240">
        <f t="shared" si="124"/>
        <v>0</v>
      </c>
      <c r="DY182" s="36">
        <f t="shared" si="134"/>
        <v>25</v>
      </c>
      <c r="DZ182" s="36" t="str">
        <f t="shared" si="118"/>
        <v/>
      </c>
      <c r="EE182" s="36">
        <f t="shared" si="132"/>
        <v>3</v>
      </c>
    </row>
    <row r="183" spans="33:135">
      <c r="AG183" s="32"/>
      <c r="AH183" s="34"/>
      <c r="AI183" s="34"/>
      <c r="AJ183" s="31"/>
      <c r="AK183" s="31"/>
      <c r="AL183" s="31" t="str">
        <f t="shared" si="133"/>
        <v/>
      </c>
      <c r="AM183" s="31"/>
      <c r="AN183" s="31">
        <f t="shared" si="125"/>
        <v>182</v>
      </c>
      <c r="AO183" s="35"/>
      <c r="AP183" s="134"/>
      <c r="AQ183" s="47"/>
      <c r="AR183" s="134"/>
      <c r="AS183" s="47"/>
      <c r="AT183" s="134"/>
      <c r="AU183" s="47"/>
      <c r="AV183" s="134"/>
      <c r="AW183" s="47"/>
      <c r="AX183" s="134"/>
      <c r="AY183" s="47"/>
      <c r="AZ183" s="134"/>
      <c r="BA183" s="47"/>
      <c r="BB183" s="134"/>
      <c r="BC183" s="47"/>
      <c r="BD183" s="134"/>
      <c r="BE183" s="47"/>
      <c r="BF183" s="134"/>
      <c r="BG183" s="47"/>
      <c r="BH183" s="134"/>
      <c r="BI183" s="47"/>
      <c r="BJ183" s="134"/>
      <c r="BK183" s="47"/>
      <c r="BL183" s="134"/>
      <c r="BM183" s="47"/>
      <c r="BN183" s="134"/>
      <c r="BO183" s="47"/>
      <c r="BP183" s="134"/>
      <c r="BQ183" s="47"/>
      <c r="BR183" s="134"/>
      <c r="BS183" s="47"/>
      <c r="BT183" s="134"/>
      <c r="BU183" s="47"/>
      <c r="BV183" s="134"/>
      <c r="BW183" s="47"/>
      <c r="BX183" s="134"/>
      <c r="BY183" s="47"/>
      <c r="BZ183" s="134"/>
      <c r="CA183" s="47"/>
      <c r="CB183" s="120"/>
      <c r="CC183" s="120"/>
      <c r="CD183" s="120"/>
      <c r="CE183" s="120"/>
      <c r="CF183" s="120"/>
      <c r="CG183" s="120"/>
      <c r="CH183" s="120"/>
      <c r="CI183" s="120"/>
      <c r="CJ183" s="120"/>
      <c r="CK183" s="179" t="str">
        <f t="shared" si="129"/>
        <v/>
      </c>
      <c r="CM183" s="36" t="str">
        <f t="shared" si="119"/>
        <v/>
      </c>
      <c r="CO183" s="36" t="str">
        <f t="shared" si="120"/>
        <v/>
      </c>
      <c r="CS183" s="28" t="str">
        <f t="shared" si="130"/>
        <v/>
      </c>
      <c r="CU183" s="28" t="str">
        <f t="shared" si="130"/>
        <v/>
      </c>
      <c r="CW183" s="28" t="str">
        <f t="shared" si="110"/>
        <v/>
      </c>
      <c r="CY183" s="28" t="str">
        <f t="shared" si="112"/>
        <v/>
      </c>
      <c r="DA183" s="28" t="str">
        <f t="shared" si="113"/>
        <v/>
      </c>
      <c r="DC183" s="28" t="str">
        <f t="shared" si="115"/>
        <v/>
      </c>
      <c r="DN183" s="32">
        <v>182</v>
      </c>
      <c r="DO183" s="34" t="s">
        <v>669</v>
      </c>
      <c r="DP183" s="38">
        <f t="shared" si="131"/>
        <v>0</v>
      </c>
      <c r="DQ183" s="173" t="str">
        <f t="shared" si="122"/>
        <v>(Endu) 0</v>
      </c>
      <c r="DR183" s="36" t="str">
        <f t="shared" si="123"/>
        <v/>
      </c>
      <c r="DV183" s="176">
        <f t="shared" si="117"/>
        <v>0</v>
      </c>
      <c r="DW183" s="243">
        <f>IF(COUNTIF('Char Sheet p1'!$AP$7:$AP$35,DQ183)=0,0,ROUNDDOWN(SUMIF('Char Sheet p1'!$AP$7:$AP$35,DQ183,'Char Sheet p1'!$AQ$7:$AQ$35)/10,0))</f>
        <v>0</v>
      </c>
      <c r="DX183" s="240">
        <f t="shared" si="124"/>
        <v>0</v>
      </c>
      <c r="DY183" s="36">
        <f t="shared" si="134"/>
        <v>26</v>
      </c>
      <c r="DZ183" s="36" t="str">
        <f t="shared" si="118"/>
        <v/>
      </c>
      <c r="EE183" s="55">
        <f t="shared" si="132"/>
        <v>3</v>
      </c>
    </row>
    <row r="184" spans="33:135">
      <c r="AG184" s="32"/>
      <c r="AH184" s="34"/>
      <c r="AI184" s="34"/>
      <c r="AJ184" s="31"/>
      <c r="AK184" s="31"/>
      <c r="AL184" s="31" t="str">
        <f t="shared" si="133"/>
        <v/>
      </c>
      <c r="AM184" s="31"/>
      <c r="AN184" s="31">
        <f t="shared" si="125"/>
        <v>183</v>
      </c>
      <c r="AO184" s="35"/>
      <c r="AP184" s="134"/>
      <c r="AQ184" s="47"/>
      <c r="AR184" s="134"/>
      <c r="AS184" s="47"/>
      <c r="AT184" s="134"/>
      <c r="AU184" s="47"/>
      <c r="AV184" s="134"/>
      <c r="AW184" s="47"/>
      <c r="AX184" s="134"/>
      <c r="AY184" s="47"/>
      <c r="AZ184" s="134"/>
      <c r="BA184" s="47"/>
      <c r="BB184" s="134"/>
      <c r="BC184" s="47"/>
      <c r="BD184" s="134"/>
      <c r="BE184" s="47"/>
      <c r="BF184" s="134"/>
      <c r="BG184" s="47"/>
      <c r="BH184" s="134"/>
      <c r="BI184" s="47"/>
      <c r="BJ184" s="134"/>
      <c r="BK184" s="47"/>
      <c r="BL184" s="134"/>
      <c r="BM184" s="47"/>
      <c r="BN184" s="134"/>
      <c r="BO184" s="47"/>
      <c r="BP184" s="134"/>
      <c r="BQ184" s="47"/>
      <c r="BR184" s="134"/>
      <c r="BS184" s="47"/>
      <c r="BT184" s="134"/>
      <c r="BU184" s="47"/>
      <c r="BV184" s="134"/>
      <c r="BW184" s="47"/>
      <c r="BX184" s="134"/>
      <c r="BY184" s="47"/>
      <c r="BZ184" s="134"/>
      <c r="CA184" s="47"/>
      <c r="CB184" s="120"/>
      <c r="CC184" s="120"/>
      <c r="CD184" s="120"/>
      <c r="CE184" s="120"/>
      <c r="CF184" s="120"/>
      <c r="CG184" s="120"/>
      <c r="CH184" s="120"/>
      <c r="CI184" s="120"/>
      <c r="CJ184" s="120"/>
      <c r="CK184" s="179" t="str">
        <f t="shared" si="129"/>
        <v/>
      </c>
      <c r="CM184" s="36" t="str">
        <f t="shared" si="119"/>
        <v/>
      </c>
      <c r="CO184" s="36" t="str">
        <f t="shared" si="120"/>
        <v/>
      </c>
      <c r="CS184" s="28" t="str">
        <f t="shared" si="130"/>
        <v/>
      </c>
      <c r="CU184" s="28" t="str">
        <f t="shared" si="130"/>
        <v/>
      </c>
      <c r="CW184" s="28" t="str">
        <f t="shared" si="110"/>
        <v/>
      </c>
      <c r="CY184" s="28" t="str">
        <f t="shared" si="112"/>
        <v/>
      </c>
      <c r="DA184" s="28" t="str">
        <f t="shared" si="113"/>
        <v/>
      </c>
      <c r="DC184" s="28" t="str">
        <f t="shared" si="115"/>
        <v/>
      </c>
      <c r="DN184" s="32">
        <v>183</v>
      </c>
      <c r="DO184" s="34" t="s">
        <v>672</v>
      </c>
      <c r="DP184" s="38" t="str">
        <f t="shared" ref="DP184:DP209" si="135">S2</f>
        <v>Axes</v>
      </c>
      <c r="DQ184" s="173" t="str">
        <f t="shared" si="122"/>
        <v>(Figh) Axes</v>
      </c>
      <c r="DR184" s="36">
        <f t="shared" si="123"/>
        <v>183</v>
      </c>
      <c r="DV184" s="176">
        <f t="shared" si="117"/>
        <v>0</v>
      </c>
      <c r="DW184" s="243">
        <f>IF(COUNTIF('Char Sheet p1'!$AP$7:$AP$35,DQ184)=0,0,ROUNDDOWN(SUMIF('Char Sheet p1'!$AP$7:$AP$35,DQ184,'Char Sheet p1'!$AQ$7:$AQ$35)/10,0))</f>
        <v>0</v>
      </c>
      <c r="DX184" s="240">
        <f t="shared" si="124"/>
        <v>0</v>
      </c>
      <c r="DY184" s="36">
        <v>1</v>
      </c>
      <c r="DZ184" s="36" t="str">
        <f t="shared" si="118"/>
        <v/>
      </c>
      <c r="EE184" s="245">
        <f>'Char Sheet p1'!B27</f>
        <v>3</v>
      </c>
    </row>
    <row r="185" spans="33:135">
      <c r="AG185" s="32"/>
      <c r="AH185" s="34"/>
      <c r="AI185" s="34"/>
      <c r="AJ185" s="31"/>
      <c r="AK185" s="31"/>
      <c r="AL185" s="31" t="str">
        <f t="shared" si="133"/>
        <v/>
      </c>
      <c r="AM185" s="31"/>
      <c r="AN185" s="31">
        <f t="shared" si="125"/>
        <v>184</v>
      </c>
      <c r="AO185" s="35"/>
      <c r="AP185" s="134"/>
      <c r="AQ185" s="47"/>
      <c r="AR185" s="134"/>
      <c r="AS185" s="47"/>
      <c r="AT185" s="134"/>
      <c r="AU185" s="47"/>
      <c r="AV185" s="134"/>
      <c r="AW185" s="47"/>
      <c r="AX185" s="134"/>
      <c r="AY185" s="47"/>
      <c r="AZ185" s="134"/>
      <c r="BA185" s="47"/>
      <c r="BB185" s="134"/>
      <c r="BC185" s="47"/>
      <c r="BD185" s="134"/>
      <c r="BE185" s="47"/>
      <c r="BF185" s="134"/>
      <c r="BG185" s="47"/>
      <c r="BH185" s="134"/>
      <c r="BI185" s="47"/>
      <c r="BJ185" s="134"/>
      <c r="BK185" s="47"/>
      <c r="BL185" s="134"/>
      <c r="BM185" s="47"/>
      <c r="BN185" s="134"/>
      <c r="BO185" s="47"/>
      <c r="BP185" s="134"/>
      <c r="BQ185" s="47"/>
      <c r="BR185" s="134"/>
      <c r="BS185" s="47"/>
      <c r="BT185" s="134"/>
      <c r="BU185" s="47"/>
      <c r="BV185" s="134"/>
      <c r="BW185" s="47"/>
      <c r="BX185" s="134"/>
      <c r="BY185" s="47"/>
      <c r="BZ185" s="134"/>
      <c r="CA185" s="47"/>
      <c r="CB185" s="120"/>
      <c r="CC185" s="120"/>
      <c r="CD185" s="120"/>
      <c r="CE185" s="120"/>
      <c r="CF185" s="120"/>
      <c r="CG185" s="120"/>
      <c r="CH185" s="120"/>
      <c r="CI185" s="120"/>
      <c r="CJ185" s="120"/>
      <c r="CK185" s="179" t="str">
        <f t="shared" si="129"/>
        <v/>
      </c>
      <c r="CM185" s="36" t="str">
        <f t="shared" si="119"/>
        <v/>
      </c>
      <c r="CO185" s="36" t="str">
        <f t="shared" si="120"/>
        <v/>
      </c>
      <c r="CS185" s="28" t="str">
        <f t="shared" si="130"/>
        <v/>
      </c>
      <c r="CU185" s="28" t="str">
        <f t="shared" si="130"/>
        <v/>
      </c>
      <c r="CW185" s="28" t="str">
        <f t="shared" si="110"/>
        <v/>
      </c>
      <c r="CY185" s="28" t="str">
        <f t="shared" si="112"/>
        <v/>
      </c>
      <c r="DA185" s="28" t="str">
        <f t="shared" si="113"/>
        <v/>
      </c>
      <c r="DC185" s="28" t="str">
        <f t="shared" si="115"/>
        <v/>
      </c>
      <c r="DN185" s="32">
        <v>184</v>
      </c>
      <c r="DO185" s="34" t="s">
        <v>672</v>
      </c>
      <c r="DP185" s="38" t="str">
        <f t="shared" si="135"/>
        <v>Bludgeons</v>
      </c>
      <c r="DQ185" s="173" t="str">
        <f t="shared" si="122"/>
        <v>(Figh) Bludgeons</v>
      </c>
      <c r="DR185" s="36">
        <f t="shared" si="123"/>
        <v>184</v>
      </c>
      <c r="DV185" s="176">
        <f t="shared" si="117"/>
        <v>0</v>
      </c>
      <c r="DW185" s="243">
        <f>IF(COUNTIF('Char Sheet p1'!$AP$7:$AP$35,DQ185)=0,0,ROUNDDOWN(SUMIF('Char Sheet p1'!$AP$7:$AP$35,DQ185,'Char Sheet p1'!$AQ$7:$AQ$35)/10,0))</f>
        <v>0</v>
      </c>
      <c r="DX185" s="240">
        <f t="shared" si="124"/>
        <v>0</v>
      </c>
      <c r="DY185" s="36">
        <v>2</v>
      </c>
      <c r="DZ185" s="36" t="str">
        <f t="shared" si="118"/>
        <v/>
      </c>
      <c r="EE185" s="36">
        <f>EE184</f>
        <v>3</v>
      </c>
    </row>
    <row r="186" spans="33:135">
      <c r="AG186" s="32"/>
      <c r="AH186" s="34"/>
      <c r="AI186" s="34"/>
      <c r="AJ186" s="31"/>
      <c r="AK186" s="31"/>
      <c r="AL186" s="31" t="str">
        <f t="shared" si="133"/>
        <v/>
      </c>
      <c r="AM186" s="31"/>
      <c r="AN186" s="31">
        <f t="shared" si="125"/>
        <v>185</v>
      </c>
      <c r="AO186" s="35"/>
      <c r="AP186" s="134"/>
      <c r="AQ186" s="47"/>
      <c r="AR186" s="134"/>
      <c r="AS186" s="47"/>
      <c r="AT186" s="134"/>
      <c r="AU186" s="47"/>
      <c r="AV186" s="134"/>
      <c r="AW186" s="47"/>
      <c r="AX186" s="134"/>
      <c r="AY186" s="47"/>
      <c r="AZ186" s="134"/>
      <c r="BA186" s="47"/>
      <c r="BB186" s="134"/>
      <c r="BC186" s="47"/>
      <c r="BD186" s="134"/>
      <c r="BE186" s="47"/>
      <c r="BF186" s="134"/>
      <c r="BG186" s="47"/>
      <c r="BH186" s="134"/>
      <c r="BI186" s="47"/>
      <c r="BJ186" s="134"/>
      <c r="BK186" s="47"/>
      <c r="BL186" s="134"/>
      <c r="BM186" s="47"/>
      <c r="BN186" s="134"/>
      <c r="BO186" s="47"/>
      <c r="BP186" s="134"/>
      <c r="BQ186" s="47"/>
      <c r="BR186" s="134"/>
      <c r="BS186" s="47"/>
      <c r="BT186" s="134"/>
      <c r="BU186" s="47"/>
      <c r="BV186" s="134"/>
      <c r="BW186" s="47"/>
      <c r="BX186" s="134"/>
      <c r="BY186" s="47"/>
      <c r="BZ186" s="134"/>
      <c r="CA186" s="47"/>
      <c r="CB186" s="120"/>
      <c r="CC186" s="120"/>
      <c r="CD186" s="120"/>
      <c r="CE186" s="120"/>
      <c r="CF186" s="120"/>
      <c r="CG186" s="120"/>
      <c r="CH186" s="120"/>
      <c r="CI186" s="120"/>
      <c r="CJ186" s="120"/>
      <c r="CK186" s="179" t="str">
        <f t="shared" si="129"/>
        <v/>
      </c>
      <c r="CM186" s="36" t="str">
        <f t="shared" si="119"/>
        <v/>
      </c>
      <c r="CO186" s="36" t="str">
        <f t="shared" si="120"/>
        <v/>
      </c>
      <c r="CS186" s="28" t="str">
        <f t="shared" si="130"/>
        <v/>
      </c>
      <c r="CU186" s="28" t="str">
        <f t="shared" si="130"/>
        <v/>
      </c>
      <c r="CW186" s="28" t="str">
        <f t="shared" si="110"/>
        <v/>
      </c>
      <c r="CY186" s="28" t="str">
        <f t="shared" si="112"/>
        <v/>
      </c>
      <c r="DA186" s="28" t="str">
        <f t="shared" si="113"/>
        <v/>
      </c>
      <c r="DC186" s="28" t="str">
        <f t="shared" si="115"/>
        <v/>
      </c>
      <c r="DN186" s="32">
        <v>185</v>
      </c>
      <c r="DO186" s="34" t="s">
        <v>672</v>
      </c>
      <c r="DP186" s="38" t="str">
        <f t="shared" si="135"/>
        <v>Brawling</v>
      </c>
      <c r="DQ186" s="173" t="str">
        <f t="shared" si="122"/>
        <v>(Figh) Brawling</v>
      </c>
      <c r="DR186" s="36">
        <f t="shared" si="123"/>
        <v>185</v>
      </c>
      <c r="DV186" s="176">
        <f t="shared" si="117"/>
        <v>0</v>
      </c>
      <c r="DW186" s="243">
        <f>IF(COUNTIF('Char Sheet p1'!$AP$7:$AP$35,DQ186)=0,0,ROUNDDOWN(SUMIF('Char Sheet p1'!$AP$7:$AP$35,DQ186,'Char Sheet p1'!$AQ$7:$AQ$35)/10,0))</f>
        <v>0</v>
      </c>
      <c r="DX186" s="240">
        <f t="shared" si="124"/>
        <v>0</v>
      </c>
      <c r="DY186" s="36">
        <v>3</v>
      </c>
      <c r="DZ186" s="36" t="str">
        <f t="shared" si="118"/>
        <v/>
      </c>
      <c r="EE186" s="36">
        <f t="shared" ref="EE186:EE209" si="136">EE185</f>
        <v>3</v>
      </c>
    </row>
    <row r="187" spans="33:135">
      <c r="AG187" s="32"/>
      <c r="AH187" s="34"/>
      <c r="AI187" s="34"/>
      <c r="AJ187" s="31"/>
      <c r="AK187" s="31"/>
      <c r="AL187" s="31" t="str">
        <f t="shared" si="133"/>
        <v/>
      </c>
      <c r="AM187" s="31"/>
      <c r="AN187" s="31">
        <f t="shared" si="125"/>
        <v>186</v>
      </c>
      <c r="AO187" s="35"/>
      <c r="AP187" s="134"/>
      <c r="AQ187" s="47"/>
      <c r="AR187" s="134"/>
      <c r="AS187" s="47"/>
      <c r="AT187" s="134"/>
      <c r="AU187" s="47"/>
      <c r="AV187" s="134"/>
      <c r="AW187" s="47"/>
      <c r="AX187" s="134"/>
      <c r="AY187" s="47"/>
      <c r="AZ187" s="134"/>
      <c r="BA187" s="47"/>
      <c r="BB187" s="134"/>
      <c r="BC187" s="47"/>
      <c r="BD187" s="134"/>
      <c r="BE187" s="47"/>
      <c r="BF187" s="134"/>
      <c r="BG187" s="47"/>
      <c r="BH187" s="134"/>
      <c r="BI187" s="47"/>
      <c r="BJ187" s="134"/>
      <c r="BK187" s="47"/>
      <c r="BL187" s="134"/>
      <c r="BM187" s="47"/>
      <c r="BN187" s="134"/>
      <c r="BO187" s="47"/>
      <c r="BP187" s="134"/>
      <c r="BQ187" s="47"/>
      <c r="BR187" s="134"/>
      <c r="BS187" s="47"/>
      <c r="BT187" s="134"/>
      <c r="BU187" s="47"/>
      <c r="BV187" s="134"/>
      <c r="BW187" s="47"/>
      <c r="BX187" s="134"/>
      <c r="BY187" s="47"/>
      <c r="BZ187" s="134"/>
      <c r="CA187" s="47"/>
      <c r="CB187" s="120"/>
      <c r="CC187" s="120"/>
      <c r="CD187" s="120"/>
      <c r="CE187" s="120"/>
      <c r="CF187" s="120"/>
      <c r="CG187" s="120"/>
      <c r="CH187" s="120"/>
      <c r="CI187" s="120"/>
      <c r="CJ187" s="120"/>
      <c r="CK187" s="179" t="str">
        <f t="shared" si="129"/>
        <v/>
      </c>
      <c r="CM187" s="36" t="str">
        <f t="shared" si="119"/>
        <v/>
      </c>
      <c r="CO187" s="36" t="str">
        <f t="shared" si="120"/>
        <v/>
      </c>
      <c r="CS187" s="28" t="str">
        <f t="shared" si="130"/>
        <v/>
      </c>
      <c r="CU187" s="28" t="str">
        <f t="shared" si="130"/>
        <v/>
      </c>
      <c r="CW187" s="28" t="str">
        <f t="shared" si="110"/>
        <v/>
      </c>
      <c r="CY187" s="28" t="str">
        <f t="shared" si="112"/>
        <v/>
      </c>
      <c r="DA187" s="28" t="str">
        <f t="shared" si="113"/>
        <v/>
      </c>
      <c r="DC187" s="28" t="str">
        <f t="shared" si="115"/>
        <v/>
      </c>
      <c r="DN187" s="32">
        <v>186</v>
      </c>
      <c r="DO187" s="34" t="s">
        <v>672</v>
      </c>
      <c r="DP187" s="38" t="str">
        <f t="shared" si="135"/>
        <v>Fencing</v>
      </c>
      <c r="DQ187" s="173" t="str">
        <f t="shared" si="122"/>
        <v>(Figh) Fencing</v>
      </c>
      <c r="DR187" s="36">
        <f t="shared" si="123"/>
        <v>186</v>
      </c>
      <c r="DV187" s="176">
        <f t="shared" si="117"/>
        <v>0</v>
      </c>
      <c r="DW187" s="243">
        <f>IF(COUNTIF('Char Sheet p1'!$AP$7:$AP$35,DQ187)=0,0,ROUNDDOWN(SUMIF('Char Sheet p1'!$AP$7:$AP$35,DQ187,'Char Sheet p1'!$AQ$7:$AQ$35)/10,0))</f>
        <v>0</v>
      </c>
      <c r="DX187" s="240">
        <f t="shared" si="124"/>
        <v>0</v>
      </c>
      <c r="DY187" s="36">
        <v>4</v>
      </c>
      <c r="DZ187" s="36" t="str">
        <f t="shared" si="118"/>
        <v/>
      </c>
      <c r="EE187" s="36">
        <f t="shared" si="136"/>
        <v>3</v>
      </c>
    </row>
    <row r="188" spans="33:135">
      <c r="AG188" s="32"/>
      <c r="AH188" s="34"/>
      <c r="AI188" s="34"/>
      <c r="AJ188" s="31"/>
      <c r="AK188" s="31"/>
      <c r="AL188" s="31" t="str">
        <f t="shared" si="133"/>
        <v/>
      </c>
      <c r="AM188" s="31"/>
      <c r="AN188" s="31">
        <f t="shared" si="125"/>
        <v>187</v>
      </c>
      <c r="AO188" s="35"/>
      <c r="AP188" s="134"/>
      <c r="AQ188" s="47"/>
      <c r="AR188" s="134"/>
      <c r="AS188" s="47"/>
      <c r="AT188" s="134"/>
      <c r="AU188" s="47"/>
      <c r="AV188" s="134"/>
      <c r="AW188" s="47"/>
      <c r="AX188" s="134"/>
      <c r="AY188" s="47"/>
      <c r="AZ188" s="134"/>
      <c r="BA188" s="47"/>
      <c r="BB188" s="134"/>
      <c r="BC188" s="47"/>
      <c r="BD188" s="134"/>
      <c r="BE188" s="47"/>
      <c r="BF188" s="134"/>
      <c r="BG188" s="47"/>
      <c r="BH188" s="134"/>
      <c r="BI188" s="47"/>
      <c r="BJ188" s="134"/>
      <c r="BK188" s="47"/>
      <c r="BL188" s="134"/>
      <c r="BM188" s="47"/>
      <c r="BN188" s="134"/>
      <c r="BO188" s="47"/>
      <c r="BP188" s="134"/>
      <c r="BQ188" s="47"/>
      <c r="BR188" s="134"/>
      <c r="BS188" s="47"/>
      <c r="BT188" s="134"/>
      <c r="BU188" s="47"/>
      <c r="BV188" s="134"/>
      <c r="BW188" s="47"/>
      <c r="BX188" s="134"/>
      <c r="BY188" s="47"/>
      <c r="BZ188" s="134"/>
      <c r="CA188" s="47"/>
      <c r="CB188" s="120"/>
      <c r="CC188" s="120"/>
      <c r="CD188" s="120"/>
      <c r="CE188" s="120"/>
      <c r="CF188" s="120"/>
      <c r="CG188" s="120"/>
      <c r="CH188" s="120"/>
      <c r="CI188" s="120"/>
      <c r="CJ188" s="120"/>
      <c r="CK188" s="179" t="str">
        <f t="shared" si="129"/>
        <v/>
      </c>
      <c r="CM188" s="36" t="str">
        <f t="shared" si="119"/>
        <v/>
      </c>
      <c r="CO188" s="36" t="str">
        <f t="shared" si="120"/>
        <v/>
      </c>
      <c r="CS188" s="28" t="str">
        <f t="shared" si="130"/>
        <v/>
      </c>
      <c r="CU188" s="28" t="str">
        <f t="shared" si="130"/>
        <v/>
      </c>
      <c r="CW188" s="28" t="str">
        <f t="shared" si="110"/>
        <v/>
      </c>
      <c r="CY188" s="28" t="str">
        <f t="shared" si="112"/>
        <v/>
      </c>
      <c r="DA188" s="28" t="str">
        <f t="shared" si="113"/>
        <v/>
      </c>
      <c r="DC188" s="28" t="str">
        <f t="shared" si="115"/>
        <v/>
      </c>
      <c r="DN188" s="32">
        <v>187</v>
      </c>
      <c r="DO188" s="34" t="s">
        <v>672</v>
      </c>
      <c r="DP188" s="38" t="str">
        <f t="shared" si="135"/>
        <v>Long Blades</v>
      </c>
      <c r="DQ188" s="173" t="str">
        <f t="shared" si="122"/>
        <v>(Figh) Long Blades</v>
      </c>
      <c r="DR188" s="36">
        <f t="shared" si="123"/>
        <v>187</v>
      </c>
      <c r="DV188" s="176">
        <f t="shared" si="117"/>
        <v>0</v>
      </c>
      <c r="DW188" s="243">
        <f>IF(COUNTIF('Char Sheet p1'!$AP$7:$AP$35,DQ188)=0,0,ROUNDDOWN(SUMIF('Char Sheet p1'!$AP$7:$AP$35,DQ188,'Char Sheet p1'!$AQ$7:$AQ$35)/10,0))</f>
        <v>0</v>
      </c>
      <c r="DX188" s="240">
        <f t="shared" si="124"/>
        <v>0</v>
      </c>
      <c r="DY188" s="36">
        <f>DY187+1</f>
        <v>5</v>
      </c>
      <c r="DZ188" s="36" t="str">
        <f t="shared" si="118"/>
        <v/>
      </c>
      <c r="EE188" s="36">
        <f t="shared" si="136"/>
        <v>3</v>
      </c>
    </row>
    <row r="189" spans="33:135">
      <c r="AG189" s="32"/>
      <c r="AH189" s="34"/>
      <c r="AI189" s="34"/>
      <c r="AJ189" s="31"/>
      <c r="AK189" s="31"/>
      <c r="AL189" s="31" t="str">
        <f t="shared" si="133"/>
        <v/>
      </c>
      <c r="AM189" s="31"/>
      <c r="AN189" s="31">
        <f t="shared" si="125"/>
        <v>188</v>
      </c>
      <c r="AO189" s="35"/>
      <c r="AP189" s="134"/>
      <c r="AQ189" s="47"/>
      <c r="AR189" s="134"/>
      <c r="AS189" s="47"/>
      <c r="AT189" s="134"/>
      <c r="AU189" s="47"/>
      <c r="AV189" s="134"/>
      <c r="AW189" s="47"/>
      <c r="AX189" s="134"/>
      <c r="AY189" s="47"/>
      <c r="AZ189" s="134"/>
      <c r="BA189" s="47"/>
      <c r="BB189" s="134"/>
      <c r="BC189" s="47"/>
      <c r="BD189" s="134"/>
      <c r="BE189" s="47"/>
      <c r="BF189" s="134"/>
      <c r="BG189" s="47"/>
      <c r="BH189" s="134"/>
      <c r="BI189" s="47"/>
      <c r="BJ189" s="134"/>
      <c r="BK189" s="47"/>
      <c r="BL189" s="134"/>
      <c r="BM189" s="47"/>
      <c r="BN189" s="134"/>
      <c r="BO189" s="47"/>
      <c r="BP189" s="134"/>
      <c r="BQ189" s="47"/>
      <c r="BR189" s="134"/>
      <c r="BS189" s="47"/>
      <c r="BT189" s="134"/>
      <c r="BU189" s="47"/>
      <c r="BV189" s="134"/>
      <c r="BW189" s="47"/>
      <c r="BX189" s="134"/>
      <c r="BY189" s="47"/>
      <c r="BZ189" s="134"/>
      <c r="CA189" s="47"/>
      <c r="CB189" s="120"/>
      <c r="CC189" s="120"/>
      <c r="CD189" s="120"/>
      <c r="CE189" s="120"/>
      <c r="CF189" s="120"/>
      <c r="CG189" s="120"/>
      <c r="CH189" s="120"/>
      <c r="CI189" s="120"/>
      <c r="CJ189" s="120"/>
      <c r="CK189" s="179" t="str">
        <f t="shared" si="129"/>
        <v/>
      </c>
      <c r="CM189" s="36" t="str">
        <f t="shared" si="119"/>
        <v/>
      </c>
      <c r="CO189" s="36" t="str">
        <f t="shared" si="120"/>
        <v/>
      </c>
      <c r="CS189" s="28" t="str">
        <f t="shared" si="130"/>
        <v/>
      </c>
      <c r="CU189" s="28" t="str">
        <f t="shared" si="130"/>
        <v/>
      </c>
      <c r="CW189" s="28" t="str">
        <f t="shared" si="110"/>
        <v/>
      </c>
      <c r="CY189" s="28" t="str">
        <f t="shared" si="112"/>
        <v/>
      </c>
      <c r="DA189" s="28" t="str">
        <f t="shared" si="113"/>
        <v/>
      </c>
      <c r="DC189" s="28" t="str">
        <f t="shared" si="115"/>
        <v/>
      </c>
      <c r="DN189" s="32">
        <v>188</v>
      </c>
      <c r="DO189" s="34" t="s">
        <v>672</v>
      </c>
      <c r="DP189" s="38" t="str">
        <f t="shared" si="135"/>
        <v>Pole-Arms</v>
      </c>
      <c r="DQ189" s="173" t="str">
        <f t="shared" si="122"/>
        <v>(Figh) Pole-Arms</v>
      </c>
      <c r="DR189" s="36">
        <f t="shared" si="123"/>
        <v>188</v>
      </c>
      <c r="DV189" s="176">
        <f t="shared" si="117"/>
        <v>0</v>
      </c>
      <c r="DW189" s="243">
        <f>IF(COUNTIF('Char Sheet p1'!$AP$7:$AP$35,DQ189)=0,0,ROUNDDOWN(SUMIF('Char Sheet p1'!$AP$7:$AP$35,DQ189,'Char Sheet p1'!$AQ$7:$AQ$35)/10,0))</f>
        <v>0</v>
      </c>
      <c r="DX189" s="240">
        <f t="shared" si="124"/>
        <v>0</v>
      </c>
      <c r="DY189" s="36">
        <f t="shared" ref="DY189:DY209" si="137">DY188+1</f>
        <v>6</v>
      </c>
      <c r="DZ189" s="36" t="str">
        <f t="shared" si="118"/>
        <v/>
      </c>
      <c r="EE189" s="36">
        <f t="shared" si="136"/>
        <v>3</v>
      </c>
    </row>
    <row r="190" spans="33:135">
      <c r="AG190" s="32"/>
      <c r="AH190" s="34"/>
      <c r="AI190" s="34"/>
      <c r="AJ190" s="31"/>
      <c r="AK190" s="31"/>
      <c r="AL190" s="31" t="str">
        <f t="shared" si="133"/>
        <v/>
      </c>
      <c r="AM190" s="31"/>
      <c r="AN190" s="31">
        <f t="shared" si="125"/>
        <v>189</v>
      </c>
      <c r="AO190" s="35"/>
      <c r="AP190" s="134"/>
      <c r="AQ190" s="47"/>
      <c r="AR190" s="134"/>
      <c r="AS190" s="47"/>
      <c r="AT190" s="134"/>
      <c r="AU190" s="47"/>
      <c r="AV190" s="134"/>
      <c r="AW190" s="47"/>
      <c r="AX190" s="134"/>
      <c r="AY190" s="47"/>
      <c r="AZ190" s="134"/>
      <c r="BA190" s="47"/>
      <c r="BB190" s="134"/>
      <c r="BC190" s="47"/>
      <c r="BD190" s="134"/>
      <c r="BE190" s="47"/>
      <c r="BF190" s="134"/>
      <c r="BG190" s="47"/>
      <c r="BH190" s="134"/>
      <c r="BI190" s="47"/>
      <c r="BJ190" s="134"/>
      <c r="BK190" s="47"/>
      <c r="BL190" s="134"/>
      <c r="BM190" s="47"/>
      <c r="BN190" s="134"/>
      <c r="BO190" s="47"/>
      <c r="BP190" s="134"/>
      <c r="BQ190" s="47"/>
      <c r="BR190" s="134"/>
      <c r="BS190" s="47"/>
      <c r="BT190" s="134"/>
      <c r="BU190" s="47"/>
      <c r="BV190" s="134"/>
      <c r="BW190" s="47"/>
      <c r="BX190" s="134"/>
      <c r="BY190" s="47"/>
      <c r="BZ190" s="134"/>
      <c r="CA190" s="47"/>
      <c r="CB190" s="120"/>
      <c r="CC190" s="120"/>
      <c r="CD190" s="120"/>
      <c r="CE190" s="120"/>
      <c r="CF190" s="120"/>
      <c r="CG190" s="120"/>
      <c r="CH190" s="120"/>
      <c r="CI190" s="120"/>
      <c r="CJ190" s="120"/>
      <c r="CK190" s="179" t="str">
        <f t="shared" si="129"/>
        <v/>
      </c>
      <c r="CM190" s="36" t="str">
        <f t="shared" si="119"/>
        <v/>
      </c>
      <c r="CO190" s="36" t="str">
        <f t="shared" si="120"/>
        <v/>
      </c>
      <c r="CS190" s="28" t="str">
        <f t="shared" si="130"/>
        <v/>
      </c>
      <c r="CU190" s="28" t="str">
        <f t="shared" si="130"/>
        <v/>
      </c>
      <c r="CW190" s="28" t="str">
        <f t="shared" si="110"/>
        <v/>
      </c>
      <c r="CY190" s="28" t="str">
        <f t="shared" si="112"/>
        <v/>
      </c>
      <c r="DA190" s="28" t="str">
        <f t="shared" si="113"/>
        <v/>
      </c>
      <c r="DC190" s="28" t="str">
        <f t="shared" si="115"/>
        <v/>
      </c>
      <c r="DN190" s="32">
        <v>189</v>
      </c>
      <c r="DO190" s="34" t="s">
        <v>672</v>
      </c>
      <c r="DP190" s="38" t="str">
        <f t="shared" si="135"/>
        <v>Shields</v>
      </c>
      <c r="DQ190" s="173" t="str">
        <f t="shared" si="122"/>
        <v>(Figh) Shields</v>
      </c>
      <c r="DR190" s="36">
        <f t="shared" si="123"/>
        <v>189</v>
      </c>
      <c r="DV190" s="176">
        <f t="shared" si="117"/>
        <v>0</v>
      </c>
      <c r="DW190" s="243">
        <f>IF(COUNTIF('Char Sheet p1'!$AP$7:$AP$35,DQ190)=0,0,ROUNDDOWN(SUMIF('Char Sheet p1'!$AP$7:$AP$35,DQ190,'Char Sheet p1'!$AQ$7:$AQ$35)/10,0))</f>
        <v>0</v>
      </c>
      <c r="DX190" s="240">
        <f t="shared" si="124"/>
        <v>0</v>
      </c>
      <c r="DY190" s="36">
        <f t="shared" si="137"/>
        <v>7</v>
      </c>
      <c r="DZ190" s="36" t="str">
        <f t="shared" si="118"/>
        <v/>
      </c>
      <c r="EE190" s="36">
        <f t="shared" si="136"/>
        <v>3</v>
      </c>
    </row>
    <row r="191" spans="33:135">
      <c r="AG191" s="32"/>
      <c r="AH191" s="34"/>
      <c r="AI191" s="34"/>
      <c r="AJ191" s="31"/>
      <c r="AK191" s="31"/>
      <c r="AL191" s="31" t="str">
        <f t="shared" si="133"/>
        <v/>
      </c>
      <c r="AM191" s="31"/>
      <c r="AN191" s="31">
        <f t="shared" si="125"/>
        <v>190</v>
      </c>
      <c r="AO191" s="35"/>
      <c r="AP191" s="134"/>
      <c r="AQ191" s="47"/>
      <c r="AR191" s="134"/>
      <c r="AS191" s="47"/>
      <c r="AT191" s="134"/>
      <c r="AU191" s="47"/>
      <c r="AV191" s="134"/>
      <c r="AW191" s="47"/>
      <c r="AX191" s="134"/>
      <c r="AY191" s="47"/>
      <c r="AZ191" s="134"/>
      <c r="BA191" s="47"/>
      <c r="BB191" s="134"/>
      <c r="BC191" s="47"/>
      <c r="BD191" s="134"/>
      <c r="BE191" s="47"/>
      <c r="BF191" s="134"/>
      <c r="BG191" s="47"/>
      <c r="BH191" s="134"/>
      <c r="BI191" s="47"/>
      <c r="BJ191" s="134"/>
      <c r="BK191" s="47"/>
      <c r="BL191" s="134"/>
      <c r="BM191" s="47"/>
      <c r="BN191" s="134"/>
      <c r="BO191" s="47"/>
      <c r="BP191" s="134"/>
      <c r="BQ191" s="47"/>
      <c r="BR191" s="134"/>
      <c r="BS191" s="47"/>
      <c r="BT191" s="134"/>
      <c r="BU191" s="47"/>
      <c r="BV191" s="134"/>
      <c r="BW191" s="47"/>
      <c r="BX191" s="134"/>
      <c r="BY191" s="47"/>
      <c r="BZ191" s="134"/>
      <c r="CA191" s="47"/>
      <c r="CB191" s="120"/>
      <c r="CC191" s="120"/>
      <c r="CD191" s="120"/>
      <c r="CE191" s="120"/>
      <c r="CF191" s="120"/>
      <c r="CG191" s="120"/>
      <c r="CH191" s="120"/>
      <c r="CI191" s="120"/>
      <c r="CJ191" s="120"/>
      <c r="CK191" s="179" t="str">
        <f t="shared" si="129"/>
        <v/>
      </c>
      <c r="CM191" s="36" t="str">
        <f t="shared" si="119"/>
        <v/>
      </c>
      <c r="CO191" s="36" t="str">
        <f t="shared" si="120"/>
        <v/>
      </c>
      <c r="CS191" s="28" t="str">
        <f t="shared" si="130"/>
        <v/>
      </c>
      <c r="CU191" s="28" t="str">
        <f t="shared" si="130"/>
        <v/>
      </c>
      <c r="CW191" s="28" t="str">
        <f t="shared" si="110"/>
        <v/>
      </c>
      <c r="CY191" s="28" t="str">
        <f t="shared" si="112"/>
        <v/>
      </c>
      <c r="DA191" s="28" t="str">
        <f t="shared" si="113"/>
        <v/>
      </c>
      <c r="DC191" s="28" t="str">
        <f t="shared" si="115"/>
        <v/>
      </c>
      <c r="DN191" s="32">
        <v>190</v>
      </c>
      <c r="DO191" s="34" t="s">
        <v>672</v>
      </c>
      <c r="DP191" s="38" t="str">
        <f t="shared" si="135"/>
        <v>Short Blades</v>
      </c>
      <c r="DQ191" s="173" t="str">
        <f t="shared" si="122"/>
        <v>(Figh) Short Blades</v>
      </c>
      <c r="DR191" s="36">
        <f t="shared" si="123"/>
        <v>190</v>
      </c>
      <c r="DV191" s="176">
        <f t="shared" si="117"/>
        <v>0</v>
      </c>
      <c r="DW191" s="243">
        <f>IF(COUNTIF('Char Sheet p1'!$AP$7:$AP$35,DQ191)=0,0,ROUNDDOWN(SUMIF('Char Sheet p1'!$AP$7:$AP$35,DQ191,'Char Sheet p1'!$AQ$7:$AQ$35)/10,0))</f>
        <v>0</v>
      </c>
      <c r="DX191" s="240">
        <f t="shared" si="124"/>
        <v>0</v>
      </c>
      <c r="DY191" s="36">
        <f t="shared" si="137"/>
        <v>8</v>
      </c>
      <c r="DZ191" s="36" t="str">
        <f t="shared" si="118"/>
        <v/>
      </c>
      <c r="EE191" s="36">
        <f t="shared" si="136"/>
        <v>3</v>
      </c>
    </row>
    <row r="192" spans="33:135">
      <c r="AG192" s="32"/>
      <c r="AH192" s="34"/>
      <c r="AI192" s="34"/>
      <c r="AJ192" s="31"/>
      <c r="AK192" s="31"/>
      <c r="AL192" s="31" t="str">
        <f t="shared" si="133"/>
        <v/>
      </c>
      <c r="AM192" s="31"/>
      <c r="AN192" s="31">
        <f t="shared" si="125"/>
        <v>191</v>
      </c>
      <c r="AO192" s="35"/>
      <c r="AP192" s="134"/>
      <c r="AQ192" s="47"/>
      <c r="AR192" s="134"/>
      <c r="AS192" s="47"/>
      <c r="AT192" s="134"/>
      <c r="AU192" s="47"/>
      <c r="AV192" s="134"/>
      <c r="AW192" s="47"/>
      <c r="AX192" s="134"/>
      <c r="AY192" s="47"/>
      <c r="AZ192" s="134"/>
      <c r="BA192" s="47"/>
      <c r="BB192" s="134"/>
      <c r="BC192" s="47"/>
      <c r="BD192" s="134"/>
      <c r="BE192" s="47"/>
      <c r="BF192" s="134"/>
      <c r="BG192" s="47"/>
      <c r="BH192" s="134"/>
      <c r="BI192" s="47"/>
      <c r="BJ192" s="134"/>
      <c r="BK192" s="47"/>
      <c r="BL192" s="134"/>
      <c r="BM192" s="47"/>
      <c r="BN192" s="134"/>
      <c r="BO192" s="47"/>
      <c r="BP192" s="134"/>
      <c r="BQ192" s="47"/>
      <c r="BR192" s="134"/>
      <c r="BS192" s="47"/>
      <c r="BT192" s="134"/>
      <c r="BU192" s="47"/>
      <c r="BV192" s="134"/>
      <c r="BW192" s="47"/>
      <c r="BX192" s="134"/>
      <c r="BY192" s="47"/>
      <c r="BZ192" s="134"/>
      <c r="CA192" s="47"/>
      <c r="CB192" s="120"/>
      <c r="CC192" s="120"/>
      <c r="CD192" s="120"/>
      <c r="CE192" s="120"/>
      <c r="CF192" s="120"/>
      <c r="CG192" s="120"/>
      <c r="CH192" s="120"/>
      <c r="CI192" s="120"/>
      <c r="CJ192" s="120"/>
      <c r="CK192" s="179" t="str">
        <f t="shared" si="129"/>
        <v/>
      </c>
      <c r="CM192" s="36" t="str">
        <f t="shared" si="119"/>
        <v/>
      </c>
      <c r="CO192" s="36" t="str">
        <f t="shared" si="120"/>
        <v/>
      </c>
      <c r="CS192" s="28" t="str">
        <f t="shared" si="130"/>
        <v/>
      </c>
      <c r="CU192" s="28" t="str">
        <f t="shared" si="130"/>
        <v/>
      </c>
      <c r="CW192" s="28" t="str">
        <f t="shared" si="110"/>
        <v/>
      </c>
      <c r="CY192" s="28" t="str">
        <f t="shared" si="112"/>
        <v/>
      </c>
      <c r="DA192" s="28" t="str">
        <f t="shared" si="113"/>
        <v/>
      </c>
      <c r="DC192" s="28" t="str">
        <f t="shared" si="115"/>
        <v/>
      </c>
      <c r="DN192" s="32">
        <v>191</v>
      </c>
      <c r="DO192" s="34" t="s">
        <v>672</v>
      </c>
      <c r="DP192" s="38" t="str">
        <f t="shared" si="135"/>
        <v>Spears</v>
      </c>
      <c r="DQ192" s="173" t="str">
        <f t="shared" si="122"/>
        <v>(Figh) Spears</v>
      </c>
      <c r="DR192" s="36">
        <f t="shared" si="123"/>
        <v>191</v>
      </c>
      <c r="DV192" s="176">
        <f t="shared" si="117"/>
        <v>0</v>
      </c>
      <c r="DW192" s="243">
        <f>IF(COUNTIF('Char Sheet p1'!$AP$7:$AP$35,DQ192)=0,0,ROUNDDOWN(SUMIF('Char Sheet p1'!$AP$7:$AP$35,DQ192,'Char Sheet p1'!$AQ$7:$AQ$35)/10,0))</f>
        <v>1</v>
      </c>
      <c r="DX192" s="240">
        <f t="shared" si="124"/>
        <v>1</v>
      </c>
      <c r="DY192" s="36">
        <f t="shared" si="137"/>
        <v>9</v>
      </c>
      <c r="DZ192" s="36">
        <f t="shared" si="118"/>
        <v>9</v>
      </c>
      <c r="EE192" s="36">
        <f t="shared" si="136"/>
        <v>3</v>
      </c>
    </row>
    <row r="193" spans="33:135">
      <c r="AG193" s="32"/>
      <c r="AH193" s="34"/>
      <c r="AI193" s="34"/>
      <c r="AJ193" s="31"/>
      <c r="AK193" s="31"/>
      <c r="AL193" s="31" t="str">
        <f t="shared" si="133"/>
        <v/>
      </c>
      <c r="AM193" s="31"/>
      <c r="AN193" s="31">
        <f t="shared" si="125"/>
        <v>192</v>
      </c>
      <c r="AO193" s="35"/>
      <c r="AP193" s="134"/>
      <c r="AQ193" s="47"/>
      <c r="AR193" s="134"/>
      <c r="AS193" s="47"/>
      <c r="AT193" s="134"/>
      <c r="AU193" s="47"/>
      <c r="AV193" s="134"/>
      <c r="AW193" s="47"/>
      <c r="AX193" s="134"/>
      <c r="AY193" s="47"/>
      <c r="AZ193" s="134"/>
      <c r="BA193" s="47"/>
      <c r="BB193" s="134"/>
      <c r="BC193" s="47"/>
      <c r="BD193" s="134"/>
      <c r="BE193" s="47"/>
      <c r="BF193" s="134"/>
      <c r="BG193" s="47"/>
      <c r="BH193" s="134"/>
      <c r="BI193" s="47"/>
      <c r="BJ193" s="134"/>
      <c r="BK193" s="47"/>
      <c r="BL193" s="134"/>
      <c r="BM193" s="47"/>
      <c r="BN193" s="134"/>
      <c r="BO193" s="47"/>
      <c r="BP193" s="134"/>
      <c r="BQ193" s="47"/>
      <c r="BR193" s="134"/>
      <c r="BS193" s="47"/>
      <c r="BT193" s="134"/>
      <c r="BU193" s="47"/>
      <c r="BV193" s="134"/>
      <c r="BW193" s="47"/>
      <c r="BX193" s="134"/>
      <c r="BY193" s="47"/>
      <c r="BZ193" s="134"/>
      <c r="CA193" s="47"/>
      <c r="CB193" s="120"/>
      <c r="CC193" s="120"/>
      <c r="CD193" s="120"/>
      <c r="CE193" s="120"/>
      <c r="CF193" s="120"/>
      <c r="CG193" s="120"/>
      <c r="CH193" s="120"/>
      <c r="CI193" s="120"/>
      <c r="CJ193" s="120"/>
      <c r="CK193" s="179" t="str">
        <f t="shared" si="129"/>
        <v/>
      </c>
      <c r="CM193" s="36" t="str">
        <f t="shared" si="119"/>
        <v/>
      </c>
      <c r="CO193" s="36" t="str">
        <f t="shared" si="120"/>
        <v/>
      </c>
      <c r="CS193" s="28" t="str">
        <f t="shared" si="130"/>
        <v/>
      </c>
      <c r="CU193" s="28" t="str">
        <f t="shared" si="130"/>
        <v/>
      </c>
      <c r="CW193" s="28" t="str">
        <f t="shared" si="110"/>
        <v/>
      </c>
      <c r="CY193" s="28" t="str">
        <f t="shared" si="112"/>
        <v/>
      </c>
      <c r="DA193" s="28" t="str">
        <f t="shared" si="113"/>
        <v/>
      </c>
      <c r="DC193" s="28" t="str">
        <f t="shared" si="115"/>
        <v/>
      </c>
      <c r="DN193" s="32">
        <v>192</v>
      </c>
      <c r="DO193" s="34" t="s">
        <v>672</v>
      </c>
      <c r="DP193" s="38">
        <f t="shared" si="135"/>
        <v>0</v>
      </c>
      <c r="DQ193" s="173" t="str">
        <f t="shared" si="122"/>
        <v>(Figh) 0</v>
      </c>
      <c r="DR193" s="36" t="str">
        <f t="shared" si="123"/>
        <v/>
      </c>
      <c r="DV193" s="176">
        <f t="shared" si="117"/>
        <v>0</v>
      </c>
      <c r="DW193" s="243">
        <f>IF(COUNTIF('Char Sheet p1'!$AP$7:$AP$35,DQ193)=0,0,ROUNDDOWN(SUMIF('Char Sheet p1'!$AP$7:$AP$35,DQ193,'Char Sheet p1'!$AQ$7:$AQ$35)/10,0))</f>
        <v>0</v>
      </c>
      <c r="DX193" s="240">
        <f t="shared" si="124"/>
        <v>0</v>
      </c>
      <c r="DY193" s="36">
        <f t="shared" si="137"/>
        <v>10</v>
      </c>
      <c r="DZ193" s="36" t="str">
        <f t="shared" si="118"/>
        <v/>
      </c>
      <c r="EE193" s="36">
        <f t="shared" si="136"/>
        <v>3</v>
      </c>
    </row>
    <row r="194" spans="33:135">
      <c r="AG194" s="32"/>
      <c r="AH194" s="34"/>
      <c r="AI194" s="34"/>
      <c r="AJ194" s="31"/>
      <c r="AK194" s="31"/>
      <c r="AL194" s="31" t="str">
        <f t="shared" ref="AL194:AL226" si="138">IF(AH194="Heritage",COUNTIF(qualities,AG194),"")</f>
        <v/>
      </c>
      <c r="AM194" s="31"/>
      <c r="AN194" s="31">
        <f t="shared" si="125"/>
        <v>193</v>
      </c>
      <c r="AO194" s="35"/>
      <c r="AP194" s="134"/>
      <c r="AQ194" s="47"/>
      <c r="AR194" s="134"/>
      <c r="AS194" s="47"/>
      <c r="AT194" s="134"/>
      <c r="AU194" s="47"/>
      <c r="AV194" s="134"/>
      <c r="AW194" s="47"/>
      <c r="AX194" s="134"/>
      <c r="AY194" s="47"/>
      <c r="AZ194" s="134"/>
      <c r="BA194" s="47"/>
      <c r="BB194" s="134"/>
      <c r="BC194" s="47"/>
      <c r="BD194" s="134"/>
      <c r="BE194" s="47"/>
      <c r="BF194" s="134"/>
      <c r="BG194" s="47"/>
      <c r="BH194" s="134"/>
      <c r="BI194" s="47"/>
      <c r="BJ194" s="134"/>
      <c r="BK194" s="47"/>
      <c r="BL194" s="134"/>
      <c r="BM194" s="47"/>
      <c r="BN194" s="134"/>
      <c r="BO194" s="47"/>
      <c r="BP194" s="134"/>
      <c r="BQ194" s="47"/>
      <c r="BR194" s="134"/>
      <c r="BS194" s="47"/>
      <c r="BT194" s="134"/>
      <c r="BU194" s="47"/>
      <c r="BV194" s="134"/>
      <c r="BW194" s="47"/>
      <c r="BX194" s="134"/>
      <c r="BY194" s="47"/>
      <c r="BZ194" s="134"/>
      <c r="CA194" s="47"/>
      <c r="CB194" s="120"/>
      <c r="CC194" s="120"/>
      <c r="CD194" s="120"/>
      <c r="CE194" s="120"/>
      <c r="CF194" s="120"/>
      <c r="CG194" s="120"/>
      <c r="CH194" s="120"/>
      <c r="CI194" s="120"/>
      <c r="CJ194" s="120"/>
      <c r="CK194" s="179" t="str">
        <f t="shared" si="129"/>
        <v/>
      </c>
      <c r="CM194" s="36" t="str">
        <f t="shared" si="119"/>
        <v/>
      </c>
      <c r="CO194" s="36" t="str">
        <f t="shared" si="120"/>
        <v/>
      </c>
      <c r="CS194" s="28" t="str">
        <f t="shared" si="130"/>
        <v/>
      </c>
      <c r="CU194" s="28" t="str">
        <f t="shared" si="130"/>
        <v/>
      </c>
      <c r="CW194" s="28" t="str">
        <f t="shared" ref="CW194:CW226" si="139">IF(OR($AM194=0,AND(COUNTIF(CX$148:CX$156,$AG194)&gt;0,$AJ194&lt;&gt;"y")),"",$AN194)</f>
        <v/>
      </c>
      <c r="CY194" s="28" t="str">
        <f t="shared" ref="CY194:CY226" si="140">IF(OR($AM194=0,AND(COUNTIF(CZ$148:CZ$156,$AG194)&gt;0,$AJ194&lt;&gt;"y")),"",$AN194)</f>
        <v/>
      </c>
      <c r="DA194" s="28" t="str">
        <f t="shared" ref="DA194:DA226" si="141">IF(OR($AM194=0,AND(COUNTIF(DB$148:DB$156,$AG194)&gt;0,$AJ194&lt;&gt;"y")),"",$AN194)</f>
        <v/>
      </c>
      <c r="DC194" s="28" t="str">
        <f t="shared" ref="DC194:DC226" si="142">IF(OR($AM194=0,AND(COUNTIF(DD$148:DD$156,$AG194)&gt;0,$AJ194&lt;&gt;"y")),"",$AN194)</f>
        <v/>
      </c>
      <c r="DN194" s="32">
        <v>193</v>
      </c>
      <c r="DO194" s="34" t="s">
        <v>672</v>
      </c>
      <c r="DP194" s="38">
        <f t="shared" si="135"/>
        <v>0</v>
      </c>
      <c r="DQ194" s="173" t="str">
        <f t="shared" si="122"/>
        <v>(Figh) 0</v>
      </c>
      <c r="DR194" s="36" t="str">
        <f t="shared" si="123"/>
        <v/>
      </c>
      <c r="DV194" s="176">
        <f t="shared" ref="DV194:DV257" si="143">IF(DP194=0,0,SUMIF($DT$2:$DT$58,DP194,$DU$2:$DU$58))</f>
        <v>0</v>
      </c>
      <c r="DW194" s="243">
        <f>IF(COUNTIF('Char Sheet p1'!$AP$7:$AP$35,DQ194)=0,0,ROUNDDOWN(SUMIF('Char Sheet p1'!$AP$7:$AP$35,DQ194,'Char Sheet p1'!$AQ$7:$AQ$35)/10,0))</f>
        <v>0</v>
      </c>
      <c r="DX194" s="240">
        <f t="shared" si="124"/>
        <v>0</v>
      </c>
      <c r="DY194" s="36">
        <f t="shared" si="137"/>
        <v>11</v>
      </c>
      <c r="DZ194" s="36" t="str">
        <f t="shared" ref="DZ194:DZ257" si="144">IF(DX194=0,"",IF(endchargen=0,"",DY194))</f>
        <v/>
      </c>
      <c r="EE194" s="36">
        <f t="shared" si="136"/>
        <v>3</v>
      </c>
    </row>
    <row r="195" spans="33:135">
      <c r="AG195" s="32"/>
      <c r="AH195" s="34"/>
      <c r="AI195" s="34"/>
      <c r="AJ195" s="31"/>
      <c r="AK195" s="31"/>
      <c r="AL195" s="31" t="str">
        <f t="shared" si="138"/>
        <v/>
      </c>
      <c r="AM195" s="31"/>
      <c r="AN195" s="31">
        <f t="shared" si="125"/>
        <v>194</v>
      </c>
      <c r="AO195" s="35"/>
      <c r="AP195" s="134"/>
      <c r="AQ195" s="47"/>
      <c r="AR195" s="134"/>
      <c r="AS195" s="47"/>
      <c r="AT195" s="134"/>
      <c r="AU195" s="47"/>
      <c r="AV195" s="134"/>
      <c r="AW195" s="47"/>
      <c r="AX195" s="134"/>
      <c r="AY195" s="47"/>
      <c r="AZ195" s="134"/>
      <c r="BA195" s="47"/>
      <c r="BB195" s="134"/>
      <c r="BC195" s="47"/>
      <c r="BD195" s="134"/>
      <c r="BE195" s="47"/>
      <c r="BF195" s="134"/>
      <c r="BG195" s="47"/>
      <c r="BH195" s="134"/>
      <c r="BI195" s="47"/>
      <c r="BJ195" s="134"/>
      <c r="BK195" s="47"/>
      <c r="BL195" s="134"/>
      <c r="BM195" s="47"/>
      <c r="BN195" s="134"/>
      <c r="BO195" s="47"/>
      <c r="BP195" s="134"/>
      <c r="BQ195" s="47"/>
      <c r="BR195" s="134"/>
      <c r="BS195" s="47"/>
      <c r="BT195" s="134"/>
      <c r="BU195" s="47"/>
      <c r="BV195" s="134"/>
      <c r="BW195" s="47"/>
      <c r="BX195" s="134"/>
      <c r="BY195" s="47"/>
      <c r="BZ195" s="134"/>
      <c r="CA195" s="47"/>
      <c r="CB195" s="120"/>
      <c r="CC195" s="120"/>
      <c r="CD195" s="120"/>
      <c r="CE195" s="120"/>
      <c r="CF195" s="120"/>
      <c r="CG195" s="120"/>
      <c r="CH195" s="120"/>
      <c r="CI195" s="120"/>
      <c r="CJ195" s="120"/>
      <c r="CK195" s="179" t="str">
        <f t="shared" si="129"/>
        <v/>
      </c>
      <c r="CM195" s="36" t="str">
        <f t="shared" ref="CM195:CM226" si="145">IF(OR($AM195=0,AND(COUNTIF(CN$148:CN$153,$AG195)&gt;0,$AJ195&lt;&gt;"y")),"",$AN195)</f>
        <v/>
      </c>
      <c r="CO195" s="36" t="str">
        <f t="shared" ref="CO195:CO226" si="146">IF(OR($AM195=0,AND(COUNTIF(CP$148:CP$153,$AG195)&gt;0,$AJ195&lt;&gt;"y")),"",$AN195)</f>
        <v/>
      </c>
      <c r="CS195" s="28" t="str">
        <f t="shared" si="130"/>
        <v/>
      </c>
      <c r="CU195" s="28" t="str">
        <f t="shared" si="130"/>
        <v/>
      </c>
      <c r="CW195" s="28" t="str">
        <f t="shared" si="139"/>
        <v/>
      </c>
      <c r="CY195" s="28" t="str">
        <f t="shared" si="140"/>
        <v/>
      </c>
      <c r="DA195" s="28" t="str">
        <f t="shared" si="141"/>
        <v/>
      </c>
      <c r="DC195" s="28" t="str">
        <f t="shared" si="142"/>
        <v/>
      </c>
      <c r="DN195" s="32">
        <v>194</v>
      </c>
      <c r="DO195" s="34" t="s">
        <v>672</v>
      </c>
      <c r="DP195" s="38">
        <f t="shared" si="135"/>
        <v>0</v>
      </c>
      <c r="DQ195" s="173" t="str">
        <f t="shared" ref="DQ195:DQ258" si="147">"("&amp;LEFT(DO195,4)&amp;") "&amp;DP195</f>
        <v>(Figh) 0</v>
      </c>
      <c r="DR195" s="36" t="str">
        <f t="shared" ref="DR195:DR258" si="148">IF(DP195=0,"",DN195)</f>
        <v/>
      </c>
      <c r="DV195" s="176">
        <f t="shared" si="143"/>
        <v>0</v>
      </c>
      <c r="DW195" s="243">
        <f>IF(COUNTIF('Char Sheet p1'!$AP$7:$AP$35,DQ195)=0,0,ROUNDDOWN(SUMIF('Char Sheet p1'!$AP$7:$AP$35,DQ195,'Char Sheet p1'!$AQ$7:$AQ$35)/10,0))</f>
        <v>0</v>
      </c>
      <c r="DX195" s="240">
        <f t="shared" ref="DX195:DX258" si="149">DW195+DV195</f>
        <v>0</v>
      </c>
      <c r="DY195" s="36">
        <f t="shared" si="137"/>
        <v>12</v>
      </c>
      <c r="DZ195" s="36" t="str">
        <f t="shared" si="144"/>
        <v/>
      </c>
      <c r="EE195" s="36">
        <f t="shared" si="136"/>
        <v>3</v>
      </c>
    </row>
    <row r="196" spans="33:135">
      <c r="AG196" s="32"/>
      <c r="AH196" s="34"/>
      <c r="AI196" s="34"/>
      <c r="AJ196" s="31"/>
      <c r="AK196" s="31"/>
      <c r="AL196" s="31" t="str">
        <f t="shared" si="138"/>
        <v/>
      </c>
      <c r="AM196" s="31"/>
      <c r="AN196" s="31">
        <f t="shared" ref="AN196:AN226" si="150">AN195+1</f>
        <v>195</v>
      </c>
      <c r="AO196" s="35"/>
      <c r="AP196" s="134"/>
      <c r="AQ196" s="47"/>
      <c r="AR196" s="134"/>
      <c r="AS196" s="47"/>
      <c r="AT196" s="134"/>
      <c r="AU196" s="47"/>
      <c r="AV196" s="134"/>
      <c r="AW196" s="47"/>
      <c r="AX196" s="134"/>
      <c r="AY196" s="47"/>
      <c r="AZ196" s="134"/>
      <c r="BA196" s="47"/>
      <c r="BB196" s="134"/>
      <c r="BC196" s="47"/>
      <c r="BD196" s="134"/>
      <c r="BE196" s="47"/>
      <c r="BF196" s="134"/>
      <c r="BG196" s="47"/>
      <c r="BH196" s="134"/>
      <c r="BI196" s="47"/>
      <c r="BJ196" s="134"/>
      <c r="BK196" s="47"/>
      <c r="BL196" s="134"/>
      <c r="BM196" s="47"/>
      <c r="BN196" s="134"/>
      <c r="BO196" s="47"/>
      <c r="BP196" s="134"/>
      <c r="BQ196" s="47"/>
      <c r="BR196" s="134"/>
      <c r="BS196" s="47"/>
      <c r="BT196" s="134"/>
      <c r="BU196" s="47"/>
      <c r="BV196" s="134"/>
      <c r="BW196" s="47"/>
      <c r="BX196" s="134"/>
      <c r="BY196" s="47"/>
      <c r="BZ196" s="134"/>
      <c r="CA196" s="47"/>
      <c r="CB196" s="120"/>
      <c r="CC196" s="120"/>
      <c r="CD196" s="120"/>
      <c r="CE196" s="120"/>
      <c r="CF196" s="120"/>
      <c r="CG196" s="120"/>
      <c r="CH196" s="120"/>
      <c r="CI196" s="120"/>
      <c r="CJ196" s="120"/>
      <c r="CK196" s="179" t="str">
        <f t="shared" si="129"/>
        <v/>
      </c>
      <c r="CM196" s="36" t="str">
        <f t="shared" si="145"/>
        <v/>
      </c>
      <c r="CO196" s="36" t="str">
        <f t="shared" si="146"/>
        <v/>
      </c>
      <c r="CS196" s="28" t="str">
        <f t="shared" si="130"/>
        <v/>
      </c>
      <c r="CU196" s="28" t="str">
        <f t="shared" si="130"/>
        <v/>
      </c>
      <c r="CW196" s="28" t="str">
        <f t="shared" si="139"/>
        <v/>
      </c>
      <c r="CY196" s="28" t="str">
        <f t="shared" si="140"/>
        <v/>
      </c>
      <c r="DA196" s="28" t="str">
        <f t="shared" si="141"/>
        <v/>
      </c>
      <c r="DC196" s="28" t="str">
        <f t="shared" si="142"/>
        <v/>
      </c>
      <c r="DN196" s="32">
        <v>195</v>
      </c>
      <c r="DO196" s="34" t="s">
        <v>672</v>
      </c>
      <c r="DP196" s="38">
        <f t="shared" si="135"/>
        <v>0</v>
      </c>
      <c r="DQ196" s="173" t="str">
        <f t="shared" si="147"/>
        <v>(Figh) 0</v>
      </c>
      <c r="DR196" s="36" t="str">
        <f t="shared" si="148"/>
        <v/>
      </c>
      <c r="DV196" s="176">
        <f t="shared" si="143"/>
        <v>0</v>
      </c>
      <c r="DW196" s="243">
        <f>IF(COUNTIF('Char Sheet p1'!$AP$7:$AP$35,DQ196)=0,0,ROUNDDOWN(SUMIF('Char Sheet p1'!$AP$7:$AP$35,DQ196,'Char Sheet p1'!$AQ$7:$AQ$35)/10,0))</f>
        <v>0</v>
      </c>
      <c r="DX196" s="240">
        <f t="shared" si="149"/>
        <v>0</v>
      </c>
      <c r="DY196" s="36">
        <f t="shared" si="137"/>
        <v>13</v>
      </c>
      <c r="DZ196" s="36" t="str">
        <f t="shared" si="144"/>
        <v/>
      </c>
      <c r="EE196" s="36">
        <f t="shared" si="136"/>
        <v>3</v>
      </c>
    </row>
    <row r="197" spans="33:135">
      <c r="AG197" s="32"/>
      <c r="AH197" s="34"/>
      <c r="AI197" s="34"/>
      <c r="AJ197" s="31"/>
      <c r="AK197" s="31"/>
      <c r="AL197" s="31" t="str">
        <f t="shared" si="138"/>
        <v/>
      </c>
      <c r="AM197" s="31"/>
      <c r="AN197" s="31">
        <f t="shared" si="150"/>
        <v>196</v>
      </c>
      <c r="AO197" s="35"/>
      <c r="AP197" s="134"/>
      <c r="AQ197" s="47"/>
      <c r="AR197" s="134"/>
      <c r="AS197" s="47"/>
      <c r="AT197" s="134"/>
      <c r="AU197" s="47"/>
      <c r="AV197" s="134"/>
      <c r="AW197" s="47"/>
      <c r="AX197" s="134"/>
      <c r="AY197" s="47"/>
      <c r="AZ197" s="134"/>
      <c r="BA197" s="47"/>
      <c r="BB197" s="134"/>
      <c r="BC197" s="47"/>
      <c r="BD197" s="134"/>
      <c r="BE197" s="47"/>
      <c r="BF197" s="134"/>
      <c r="BG197" s="47"/>
      <c r="BH197" s="134"/>
      <c r="BI197" s="47"/>
      <c r="BJ197" s="134"/>
      <c r="BK197" s="47"/>
      <c r="BL197" s="134"/>
      <c r="BM197" s="47"/>
      <c r="BN197" s="134"/>
      <c r="BO197" s="47"/>
      <c r="BP197" s="134"/>
      <c r="BQ197" s="47"/>
      <c r="BR197" s="134"/>
      <c r="BS197" s="47"/>
      <c r="BT197" s="134"/>
      <c r="BU197" s="47"/>
      <c r="BV197" s="134"/>
      <c r="BW197" s="47"/>
      <c r="BX197" s="134"/>
      <c r="BY197" s="47"/>
      <c r="BZ197" s="134"/>
      <c r="CA197" s="47"/>
      <c r="CB197" s="120"/>
      <c r="CC197" s="120"/>
      <c r="CD197" s="120"/>
      <c r="CE197" s="120"/>
      <c r="CF197" s="120"/>
      <c r="CG197" s="120"/>
      <c r="CH197" s="120"/>
      <c r="CI197" s="120"/>
      <c r="CJ197" s="120"/>
      <c r="CK197" s="179" t="str">
        <f t="shared" si="129"/>
        <v/>
      </c>
      <c r="CM197" s="36" t="str">
        <f t="shared" si="145"/>
        <v/>
      </c>
      <c r="CO197" s="36" t="str">
        <f t="shared" si="146"/>
        <v/>
      </c>
      <c r="CS197" s="28" t="str">
        <f t="shared" si="130"/>
        <v/>
      </c>
      <c r="CU197" s="28" t="str">
        <f t="shared" si="130"/>
        <v/>
      </c>
      <c r="CW197" s="28" t="str">
        <f t="shared" si="139"/>
        <v/>
      </c>
      <c r="CY197" s="28" t="str">
        <f t="shared" si="140"/>
        <v/>
      </c>
      <c r="DA197" s="28" t="str">
        <f t="shared" si="141"/>
        <v/>
      </c>
      <c r="DC197" s="28" t="str">
        <f t="shared" si="142"/>
        <v/>
      </c>
      <c r="DN197" s="32">
        <v>196</v>
      </c>
      <c r="DO197" s="34" t="s">
        <v>672</v>
      </c>
      <c r="DP197" s="38">
        <f t="shared" si="135"/>
        <v>0</v>
      </c>
      <c r="DQ197" s="173" t="str">
        <f t="shared" si="147"/>
        <v>(Figh) 0</v>
      </c>
      <c r="DR197" s="36" t="str">
        <f t="shared" si="148"/>
        <v/>
      </c>
      <c r="DV197" s="176">
        <f t="shared" si="143"/>
        <v>0</v>
      </c>
      <c r="DW197" s="243">
        <f>IF(COUNTIF('Char Sheet p1'!$AP$7:$AP$35,DQ197)=0,0,ROUNDDOWN(SUMIF('Char Sheet p1'!$AP$7:$AP$35,DQ197,'Char Sheet p1'!$AQ$7:$AQ$35)/10,0))</f>
        <v>0</v>
      </c>
      <c r="DX197" s="240">
        <f t="shared" si="149"/>
        <v>0</v>
      </c>
      <c r="DY197" s="36">
        <f t="shared" si="137"/>
        <v>14</v>
      </c>
      <c r="DZ197" s="36" t="str">
        <f t="shared" si="144"/>
        <v/>
      </c>
      <c r="EE197" s="36">
        <f t="shared" si="136"/>
        <v>3</v>
      </c>
    </row>
    <row r="198" spans="33:135">
      <c r="AG198" s="32"/>
      <c r="AH198" s="34"/>
      <c r="AI198" s="34"/>
      <c r="AJ198" s="31"/>
      <c r="AK198" s="31"/>
      <c r="AL198" s="31" t="str">
        <f t="shared" si="138"/>
        <v/>
      </c>
      <c r="AM198" s="31"/>
      <c r="AN198" s="31">
        <f t="shared" si="150"/>
        <v>197</v>
      </c>
      <c r="AO198" s="35"/>
      <c r="AP198" s="134"/>
      <c r="AQ198" s="47"/>
      <c r="AR198" s="134"/>
      <c r="AS198" s="47"/>
      <c r="AT198" s="134"/>
      <c r="AU198" s="47"/>
      <c r="AV198" s="134"/>
      <c r="AW198" s="47"/>
      <c r="AX198" s="134"/>
      <c r="AY198" s="47"/>
      <c r="AZ198" s="134"/>
      <c r="BA198" s="47"/>
      <c r="BB198" s="134"/>
      <c r="BC198" s="47"/>
      <c r="BD198" s="134"/>
      <c r="BE198" s="47"/>
      <c r="BF198" s="134"/>
      <c r="BG198" s="47"/>
      <c r="BH198" s="134"/>
      <c r="BI198" s="47"/>
      <c r="BJ198" s="134"/>
      <c r="BK198" s="47"/>
      <c r="BL198" s="134"/>
      <c r="BM198" s="47"/>
      <c r="BN198" s="134"/>
      <c r="BO198" s="47"/>
      <c r="BP198" s="134"/>
      <c r="BQ198" s="47"/>
      <c r="BR198" s="134"/>
      <c r="BS198" s="47"/>
      <c r="BT198" s="134"/>
      <c r="BU198" s="47"/>
      <c r="BV198" s="134"/>
      <c r="BW198" s="47"/>
      <c r="BX198" s="134"/>
      <c r="BY198" s="47"/>
      <c r="BZ198" s="134"/>
      <c r="CA198" s="47"/>
      <c r="CB198" s="120"/>
      <c r="CC198" s="120"/>
      <c r="CD198" s="120"/>
      <c r="CE198" s="120"/>
      <c r="CF198" s="120"/>
      <c r="CG198" s="120"/>
      <c r="CH198" s="120"/>
      <c r="CI198" s="120"/>
      <c r="CJ198" s="120"/>
      <c r="CK198" s="179" t="str">
        <f t="shared" si="129"/>
        <v/>
      </c>
      <c r="CM198" s="36" t="str">
        <f t="shared" si="145"/>
        <v/>
      </c>
      <c r="CO198" s="36" t="str">
        <f t="shared" si="146"/>
        <v/>
      </c>
      <c r="CS198" s="28" t="str">
        <f t="shared" si="130"/>
        <v/>
      </c>
      <c r="CU198" s="28" t="str">
        <f t="shared" si="130"/>
        <v/>
      </c>
      <c r="CW198" s="28" t="str">
        <f t="shared" si="139"/>
        <v/>
      </c>
      <c r="CY198" s="28" t="str">
        <f t="shared" si="140"/>
        <v/>
      </c>
      <c r="DA198" s="28" t="str">
        <f t="shared" si="141"/>
        <v/>
      </c>
      <c r="DC198" s="28" t="str">
        <f t="shared" si="142"/>
        <v/>
      </c>
      <c r="DN198" s="32">
        <v>197</v>
      </c>
      <c r="DO198" s="34" t="s">
        <v>672</v>
      </c>
      <c r="DP198" s="38">
        <f t="shared" si="135"/>
        <v>0</v>
      </c>
      <c r="DQ198" s="173" t="str">
        <f t="shared" si="147"/>
        <v>(Figh) 0</v>
      </c>
      <c r="DR198" s="36" t="str">
        <f t="shared" si="148"/>
        <v/>
      </c>
      <c r="DV198" s="176">
        <f t="shared" si="143"/>
        <v>0</v>
      </c>
      <c r="DW198" s="243">
        <f>IF(COUNTIF('Char Sheet p1'!$AP$7:$AP$35,DQ198)=0,0,ROUNDDOWN(SUMIF('Char Sheet p1'!$AP$7:$AP$35,DQ198,'Char Sheet p1'!$AQ$7:$AQ$35)/10,0))</f>
        <v>0</v>
      </c>
      <c r="DX198" s="240">
        <f t="shared" si="149"/>
        <v>0</v>
      </c>
      <c r="DY198" s="36">
        <f t="shared" si="137"/>
        <v>15</v>
      </c>
      <c r="DZ198" s="36" t="str">
        <f t="shared" si="144"/>
        <v/>
      </c>
      <c r="EE198" s="36">
        <f t="shared" si="136"/>
        <v>3</v>
      </c>
    </row>
    <row r="199" spans="33:135">
      <c r="AG199" s="32"/>
      <c r="AH199" s="34"/>
      <c r="AI199" s="34"/>
      <c r="AJ199" s="31"/>
      <c r="AK199" s="31"/>
      <c r="AL199" s="31" t="str">
        <f t="shared" si="138"/>
        <v/>
      </c>
      <c r="AM199" s="31"/>
      <c r="AN199" s="31">
        <f t="shared" si="150"/>
        <v>198</v>
      </c>
      <c r="AO199" s="35"/>
      <c r="AP199" s="134"/>
      <c r="AQ199" s="47"/>
      <c r="AR199" s="134"/>
      <c r="AS199" s="47"/>
      <c r="AT199" s="134"/>
      <c r="AU199" s="47"/>
      <c r="AV199" s="134"/>
      <c r="AW199" s="47"/>
      <c r="AX199" s="134"/>
      <c r="AY199" s="47"/>
      <c r="AZ199" s="134"/>
      <c r="BA199" s="47"/>
      <c r="BB199" s="134"/>
      <c r="BC199" s="47"/>
      <c r="BD199" s="134"/>
      <c r="BE199" s="47"/>
      <c r="BF199" s="134"/>
      <c r="BG199" s="47"/>
      <c r="BH199" s="134"/>
      <c r="BI199" s="47"/>
      <c r="BJ199" s="134"/>
      <c r="BK199" s="47"/>
      <c r="BL199" s="134"/>
      <c r="BM199" s="47"/>
      <c r="BN199" s="134"/>
      <c r="BO199" s="47"/>
      <c r="BP199" s="134"/>
      <c r="BQ199" s="47"/>
      <c r="BR199" s="134"/>
      <c r="BS199" s="47"/>
      <c r="BT199" s="134"/>
      <c r="BU199" s="47"/>
      <c r="BV199" s="134"/>
      <c r="BW199" s="47"/>
      <c r="BX199" s="134"/>
      <c r="BY199" s="47"/>
      <c r="BZ199" s="134"/>
      <c r="CA199" s="47"/>
      <c r="CB199" s="120"/>
      <c r="CC199" s="120"/>
      <c r="CD199" s="120"/>
      <c r="CE199" s="120"/>
      <c r="CF199" s="120"/>
      <c r="CG199" s="120"/>
      <c r="CH199" s="120"/>
      <c r="CI199" s="120"/>
      <c r="CJ199" s="120"/>
      <c r="CK199" s="179" t="str">
        <f t="shared" si="129"/>
        <v/>
      </c>
      <c r="CM199" s="36" t="str">
        <f t="shared" si="145"/>
        <v/>
      </c>
      <c r="CO199" s="36" t="str">
        <f t="shared" si="146"/>
        <v/>
      </c>
      <c r="CS199" s="28" t="str">
        <f t="shared" si="130"/>
        <v/>
      </c>
      <c r="CU199" s="28" t="str">
        <f t="shared" si="130"/>
        <v/>
      </c>
      <c r="CW199" s="28" t="str">
        <f t="shared" si="139"/>
        <v/>
      </c>
      <c r="CY199" s="28" t="str">
        <f t="shared" si="140"/>
        <v/>
      </c>
      <c r="DA199" s="28" t="str">
        <f t="shared" si="141"/>
        <v/>
      </c>
      <c r="DC199" s="28" t="str">
        <f t="shared" si="142"/>
        <v/>
      </c>
      <c r="DN199" s="32">
        <v>198</v>
      </c>
      <c r="DO199" s="34" t="s">
        <v>672</v>
      </c>
      <c r="DP199" s="38">
        <f t="shared" si="135"/>
        <v>0</v>
      </c>
      <c r="DQ199" s="173" t="str">
        <f t="shared" si="147"/>
        <v>(Figh) 0</v>
      </c>
      <c r="DR199" s="36" t="str">
        <f t="shared" si="148"/>
        <v/>
      </c>
      <c r="DV199" s="176">
        <f t="shared" si="143"/>
        <v>0</v>
      </c>
      <c r="DW199" s="243">
        <f>IF(COUNTIF('Char Sheet p1'!$AP$7:$AP$35,DQ199)=0,0,ROUNDDOWN(SUMIF('Char Sheet p1'!$AP$7:$AP$35,DQ199,'Char Sheet p1'!$AQ$7:$AQ$35)/10,0))</f>
        <v>0</v>
      </c>
      <c r="DX199" s="240">
        <f t="shared" si="149"/>
        <v>0</v>
      </c>
      <c r="DY199" s="36">
        <f t="shared" si="137"/>
        <v>16</v>
      </c>
      <c r="DZ199" s="36" t="str">
        <f t="shared" si="144"/>
        <v/>
      </c>
      <c r="EE199" s="36">
        <f t="shared" si="136"/>
        <v>3</v>
      </c>
    </row>
    <row r="200" spans="33:135">
      <c r="AG200" s="32"/>
      <c r="AH200" s="34"/>
      <c r="AI200" s="34"/>
      <c r="AJ200" s="31"/>
      <c r="AK200" s="31"/>
      <c r="AL200" s="31" t="str">
        <f t="shared" si="138"/>
        <v/>
      </c>
      <c r="AM200" s="31"/>
      <c r="AN200" s="31">
        <f t="shared" si="150"/>
        <v>199</v>
      </c>
      <c r="AO200" s="35"/>
      <c r="AP200" s="134"/>
      <c r="AQ200" s="47"/>
      <c r="AR200" s="134"/>
      <c r="AS200" s="47"/>
      <c r="AT200" s="134"/>
      <c r="AU200" s="47"/>
      <c r="AV200" s="134"/>
      <c r="AW200" s="47"/>
      <c r="AX200" s="134"/>
      <c r="AY200" s="47"/>
      <c r="AZ200" s="134"/>
      <c r="BA200" s="47"/>
      <c r="BB200" s="134"/>
      <c r="BC200" s="47"/>
      <c r="BD200" s="134"/>
      <c r="BE200" s="47"/>
      <c r="BF200" s="134"/>
      <c r="BG200" s="47"/>
      <c r="BH200" s="134"/>
      <c r="BI200" s="47"/>
      <c r="BJ200" s="134"/>
      <c r="BK200" s="47"/>
      <c r="BL200" s="134"/>
      <c r="BM200" s="47"/>
      <c r="BN200" s="134"/>
      <c r="BO200" s="47"/>
      <c r="BP200" s="134"/>
      <c r="BQ200" s="47"/>
      <c r="BR200" s="134"/>
      <c r="BS200" s="47"/>
      <c r="BT200" s="134"/>
      <c r="BU200" s="47"/>
      <c r="BV200" s="134"/>
      <c r="BW200" s="47"/>
      <c r="BX200" s="134"/>
      <c r="BY200" s="47"/>
      <c r="BZ200" s="134"/>
      <c r="CA200" s="47"/>
      <c r="CB200" s="120"/>
      <c r="CC200" s="120"/>
      <c r="CD200" s="120"/>
      <c r="CE200" s="120"/>
      <c r="CF200" s="120"/>
      <c r="CG200" s="120"/>
      <c r="CH200" s="120"/>
      <c r="CI200" s="120"/>
      <c r="CJ200" s="120"/>
      <c r="CK200" s="179" t="str">
        <f t="shared" si="129"/>
        <v/>
      </c>
      <c r="CM200" s="36" t="str">
        <f t="shared" si="145"/>
        <v/>
      </c>
      <c r="CO200" s="36" t="str">
        <f t="shared" si="146"/>
        <v/>
      </c>
      <c r="CS200" s="28" t="str">
        <f t="shared" si="130"/>
        <v/>
      </c>
      <c r="CU200" s="28" t="str">
        <f t="shared" si="130"/>
        <v/>
      </c>
      <c r="CW200" s="28" t="str">
        <f t="shared" si="139"/>
        <v/>
      </c>
      <c r="CY200" s="28" t="str">
        <f t="shared" si="140"/>
        <v/>
      </c>
      <c r="DA200" s="28" t="str">
        <f t="shared" si="141"/>
        <v/>
      </c>
      <c r="DC200" s="28" t="str">
        <f t="shared" si="142"/>
        <v/>
      </c>
      <c r="DN200" s="32">
        <v>199</v>
      </c>
      <c r="DO200" s="34" t="s">
        <v>672</v>
      </c>
      <c r="DP200" s="38">
        <f t="shared" si="135"/>
        <v>0</v>
      </c>
      <c r="DQ200" s="173" t="str">
        <f t="shared" si="147"/>
        <v>(Figh) 0</v>
      </c>
      <c r="DR200" s="36" t="str">
        <f t="shared" si="148"/>
        <v/>
      </c>
      <c r="DV200" s="176">
        <f t="shared" si="143"/>
        <v>0</v>
      </c>
      <c r="DW200" s="243">
        <f>IF(COUNTIF('Char Sheet p1'!$AP$7:$AP$35,DQ200)=0,0,ROUNDDOWN(SUMIF('Char Sheet p1'!$AP$7:$AP$35,DQ200,'Char Sheet p1'!$AQ$7:$AQ$35)/10,0))</f>
        <v>0</v>
      </c>
      <c r="DX200" s="240">
        <f t="shared" si="149"/>
        <v>0</v>
      </c>
      <c r="DY200" s="36">
        <f t="shared" si="137"/>
        <v>17</v>
      </c>
      <c r="DZ200" s="36" t="str">
        <f t="shared" si="144"/>
        <v/>
      </c>
      <c r="EE200" s="36">
        <f t="shared" si="136"/>
        <v>3</v>
      </c>
    </row>
    <row r="201" spans="33:135">
      <c r="AG201" s="32"/>
      <c r="AH201" s="34"/>
      <c r="AI201" s="34"/>
      <c r="AJ201" s="31"/>
      <c r="AK201" s="31"/>
      <c r="AL201" s="31" t="str">
        <f t="shared" si="138"/>
        <v/>
      </c>
      <c r="AM201" s="31"/>
      <c r="AN201" s="31">
        <f t="shared" si="150"/>
        <v>200</v>
      </c>
      <c r="AO201" s="35"/>
      <c r="AP201" s="134"/>
      <c r="AQ201" s="47"/>
      <c r="AR201" s="134"/>
      <c r="AS201" s="47"/>
      <c r="AT201" s="134"/>
      <c r="AU201" s="47"/>
      <c r="AV201" s="134"/>
      <c r="AW201" s="47"/>
      <c r="AX201" s="134"/>
      <c r="AY201" s="47"/>
      <c r="AZ201" s="134"/>
      <c r="BA201" s="47"/>
      <c r="BB201" s="134"/>
      <c r="BC201" s="47"/>
      <c r="BD201" s="134"/>
      <c r="BE201" s="47"/>
      <c r="BF201" s="134"/>
      <c r="BG201" s="47"/>
      <c r="BH201" s="134"/>
      <c r="BI201" s="47"/>
      <c r="BJ201" s="134"/>
      <c r="BK201" s="47"/>
      <c r="BL201" s="134"/>
      <c r="BM201" s="47"/>
      <c r="BN201" s="134"/>
      <c r="BO201" s="47"/>
      <c r="BP201" s="134"/>
      <c r="BQ201" s="47"/>
      <c r="BR201" s="134"/>
      <c r="BS201" s="47"/>
      <c r="BT201" s="134"/>
      <c r="BU201" s="47"/>
      <c r="BV201" s="134"/>
      <c r="BW201" s="47"/>
      <c r="BX201" s="134"/>
      <c r="BY201" s="47"/>
      <c r="BZ201" s="134"/>
      <c r="CA201" s="47"/>
      <c r="CB201" s="120"/>
      <c r="CC201" s="120"/>
      <c r="CD201" s="120"/>
      <c r="CE201" s="120"/>
      <c r="CF201" s="120"/>
      <c r="CG201" s="120"/>
      <c r="CH201" s="120"/>
      <c r="CI201" s="120"/>
      <c r="CJ201" s="120"/>
      <c r="CK201" s="179" t="str">
        <f t="shared" si="129"/>
        <v/>
      </c>
      <c r="CM201" s="36" t="str">
        <f t="shared" si="145"/>
        <v/>
      </c>
      <c r="CO201" s="36" t="str">
        <f t="shared" si="146"/>
        <v/>
      </c>
      <c r="CS201" s="28" t="str">
        <f t="shared" si="130"/>
        <v/>
      </c>
      <c r="CU201" s="28" t="str">
        <f t="shared" si="130"/>
        <v/>
      </c>
      <c r="CW201" s="28" t="str">
        <f t="shared" si="139"/>
        <v/>
      </c>
      <c r="CY201" s="28" t="str">
        <f t="shared" si="140"/>
        <v/>
      </c>
      <c r="DA201" s="28" t="str">
        <f t="shared" si="141"/>
        <v/>
      </c>
      <c r="DC201" s="28" t="str">
        <f t="shared" si="142"/>
        <v/>
      </c>
      <c r="DN201" s="32">
        <v>200</v>
      </c>
      <c r="DO201" s="34" t="s">
        <v>672</v>
      </c>
      <c r="DP201" s="38">
        <f t="shared" si="135"/>
        <v>0</v>
      </c>
      <c r="DQ201" s="173" t="str">
        <f t="shared" si="147"/>
        <v>(Figh) 0</v>
      </c>
      <c r="DR201" s="36" t="str">
        <f t="shared" si="148"/>
        <v/>
      </c>
      <c r="DV201" s="176">
        <f t="shared" si="143"/>
        <v>0</v>
      </c>
      <c r="DW201" s="243">
        <f>IF(COUNTIF('Char Sheet p1'!$AP$7:$AP$35,DQ201)=0,0,ROUNDDOWN(SUMIF('Char Sheet p1'!$AP$7:$AP$35,DQ201,'Char Sheet p1'!$AQ$7:$AQ$35)/10,0))</f>
        <v>0</v>
      </c>
      <c r="DX201" s="240">
        <f t="shared" si="149"/>
        <v>0</v>
      </c>
      <c r="DY201" s="36">
        <f t="shared" si="137"/>
        <v>18</v>
      </c>
      <c r="DZ201" s="36" t="str">
        <f t="shared" si="144"/>
        <v/>
      </c>
      <c r="EE201" s="36">
        <f t="shared" si="136"/>
        <v>3</v>
      </c>
    </row>
    <row r="202" spans="33:135">
      <c r="AG202" s="32"/>
      <c r="AH202" s="34"/>
      <c r="AI202" s="34"/>
      <c r="AJ202" s="31"/>
      <c r="AK202" s="31"/>
      <c r="AL202" s="31" t="str">
        <f t="shared" si="138"/>
        <v/>
      </c>
      <c r="AM202" s="31"/>
      <c r="AN202" s="31">
        <f t="shared" si="150"/>
        <v>201</v>
      </c>
      <c r="AO202" s="35"/>
      <c r="AP202" s="134"/>
      <c r="AQ202" s="47"/>
      <c r="AR202" s="134"/>
      <c r="AS202" s="47"/>
      <c r="AT202" s="134"/>
      <c r="AU202" s="47"/>
      <c r="AV202" s="134"/>
      <c r="AW202" s="47"/>
      <c r="AX202" s="134"/>
      <c r="AY202" s="47"/>
      <c r="AZ202" s="134"/>
      <c r="BA202" s="47"/>
      <c r="BB202" s="134"/>
      <c r="BC202" s="47"/>
      <c r="BD202" s="134"/>
      <c r="BE202" s="47"/>
      <c r="BF202" s="134"/>
      <c r="BG202" s="47"/>
      <c r="BH202" s="134"/>
      <c r="BI202" s="47"/>
      <c r="BJ202" s="134"/>
      <c r="BK202" s="47"/>
      <c r="BL202" s="134"/>
      <c r="BM202" s="47"/>
      <c r="BN202" s="134"/>
      <c r="BO202" s="47"/>
      <c r="BP202" s="134"/>
      <c r="BQ202" s="47"/>
      <c r="BR202" s="134"/>
      <c r="BS202" s="47"/>
      <c r="BT202" s="134"/>
      <c r="BU202" s="47"/>
      <c r="BV202" s="134"/>
      <c r="BW202" s="47"/>
      <c r="BX202" s="134"/>
      <c r="BY202" s="47"/>
      <c r="BZ202" s="134"/>
      <c r="CA202" s="47"/>
      <c r="CB202" s="120"/>
      <c r="CC202" s="120"/>
      <c r="CD202" s="120"/>
      <c r="CE202" s="120"/>
      <c r="CF202" s="120"/>
      <c r="CG202" s="120"/>
      <c r="CH202" s="120"/>
      <c r="CI202" s="120"/>
      <c r="CJ202" s="120"/>
      <c r="CK202" s="179" t="str">
        <f t="shared" si="129"/>
        <v/>
      </c>
      <c r="CM202" s="36" t="str">
        <f t="shared" si="145"/>
        <v/>
      </c>
      <c r="CO202" s="36" t="str">
        <f t="shared" si="146"/>
        <v/>
      </c>
      <c r="CS202" s="28" t="str">
        <f t="shared" si="130"/>
        <v/>
      </c>
      <c r="CU202" s="28" t="str">
        <f t="shared" si="130"/>
        <v/>
      </c>
      <c r="CW202" s="28" t="str">
        <f t="shared" si="139"/>
        <v/>
      </c>
      <c r="CY202" s="28" t="str">
        <f t="shared" si="140"/>
        <v/>
      </c>
      <c r="DA202" s="28" t="str">
        <f t="shared" si="141"/>
        <v/>
      </c>
      <c r="DC202" s="28" t="str">
        <f t="shared" si="142"/>
        <v/>
      </c>
      <c r="DN202" s="32">
        <v>201</v>
      </c>
      <c r="DO202" s="34" t="s">
        <v>672</v>
      </c>
      <c r="DP202" s="38">
        <f t="shared" si="135"/>
        <v>0</v>
      </c>
      <c r="DQ202" s="173" t="str">
        <f t="shared" si="147"/>
        <v>(Figh) 0</v>
      </c>
      <c r="DR202" s="36" t="str">
        <f t="shared" si="148"/>
        <v/>
      </c>
      <c r="DV202" s="176">
        <f t="shared" si="143"/>
        <v>0</v>
      </c>
      <c r="DW202" s="243">
        <f>IF(COUNTIF('Char Sheet p1'!$AP$7:$AP$35,DQ202)=0,0,ROUNDDOWN(SUMIF('Char Sheet p1'!$AP$7:$AP$35,DQ202,'Char Sheet p1'!$AQ$7:$AQ$35)/10,0))</f>
        <v>0</v>
      </c>
      <c r="DX202" s="240">
        <f t="shared" si="149"/>
        <v>0</v>
      </c>
      <c r="DY202" s="36">
        <f t="shared" si="137"/>
        <v>19</v>
      </c>
      <c r="DZ202" s="36" t="str">
        <f t="shared" si="144"/>
        <v/>
      </c>
      <c r="EE202" s="36">
        <f t="shared" si="136"/>
        <v>3</v>
      </c>
    </row>
    <row r="203" spans="33:135">
      <c r="AG203" s="32"/>
      <c r="AH203" s="34"/>
      <c r="AI203" s="34"/>
      <c r="AJ203" s="31"/>
      <c r="AK203" s="31"/>
      <c r="AL203" s="31" t="str">
        <f t="shared" si="138"/>
        <v/>
      </c>
      <c r="AM203" s="31"/>
      <c r="AN203" s="31">
        <f t="shared" si="150"/>
        <v>202</v>
      </c>
      <c r="AO203" s="35"/>
      <c r="AP203" s="134"/>
      <c r="AQ203" s="47"/>
      <c r="AR203" s="134"/>
      <c r="AS203" s="47"/>
      <c r="AT203" s="134"/>
      <c r="AU203" s="47"/>
      <c r="AV203" s="134"/>
      <c r="AW203" s="47"/>
      <c r="AX203" s="134"/>
      <c r="AY203" s="47"/>
      <c r="AZ203" s="134"/>
      <c r="BA203" s="47"/>
      <c r="BB203" s="134"/>
      <c r="BC203" s="47"/>
      <c r="BD203" s="134"/>
      <c r="BE203" s="47"/>
      <c r="BF203" s="134"/>
      <c r="BG203" s="47"/>
      <c r="BH203" s="134"/>
      <c r="BI203" s="47"/>
      <c r="BJ203" s="134"/>
      <c r="BK203" s="47"/>
      <c r="BL203" s="134"/>
      <c r="BM203" s="47"/>
      <c r="BN203" s="134"/>
      <c r="BO203" s="47"/>
      <c r="BP203" s="134"/>
      <c r="BQ203" s="47"/>
      <c r="BR203" s="134"/>
      <c r="BS203" s="47"/>
      <c r="BT203" s="134"/>
      <c r="BU203" s="47"/>
      <c r="BV203" s="134"/>
      <c r="BW203" s="47"/>
      <c r="BX203" s="134"/>
      <c r="BY203" s="47"/>
      <c r="BZ203" s="134"/>
      <c r="CA203" s="47"/>
      <c r="CB203" s="120"/>
      <c r="CC203" s="120"/>
      <c r="CD203" s="120"/>
      <c r="CE203" s="120"/>
      <c r="CF203" s="120"/>
      <c r="CG203" s="120"/>
      <c r="CH203" s="120"/>
      <c r="CI203" s="120"/>
      <c r="CJ203" s="120"/>
      <c r="CK203" s="179" t="str">
        <f t="shared" si="129"/>
        <v/>
      </c>
      <c r="CM203" s="36" t="str">
        <f t="shared" si="145"/>
        <v/>
      </c>
      <c r="CO203" s="36" t="str">
        <f t="shared" si="146"/>
        <v/>
      </c>
      <c r="CS203" s="28" t="str">
        <f t="shared" si="130"/>
        <v/>
      </c>
      <c r="CU203" s="28" t="str">
        <f t="shared" si="130"/>
        <v/>
      </c>
      <c r="CW203" s="28" t="str">
        <f t="shared" si="139"/>
        <v/>
      </c>
      <c r="CY203" s="28" t="str">
        <f t="shared" si="140"/>
        <v/>
      </c>
      <c r="DA203" s="28" t="str">
        <f t="shared" si="141"/>
        <v/>
      </c>
      <c r="DC203" s="28" t="str">
        <f t="shared" si="142"/>
        <v/>
      </c>
      <c r="DN203" s="32">
        <v>202</v>
      </c>
      <c r="DO203" s="34" t="s">
        <v>672</v>
      </c>
      <c r="DP203" s="38">
        <f t="shared" si="135"/>
        <v>0</v>
      </c>
      <c r="DQ203" s="173" t="str">
        <f t="shared" si="147"/>
        <v>(Figh) 0</v>
      </c>
      <c r="DR203" s="36" t="str">
        <f t="shared" si="148"/>
        <v/>
      </c>
      <c r="DV203" s="176">
        <f t="shared" si="143"/>
        <v>0</v>
      </c>
      <c r="DW203" s="243">
        <f>IF(COUNTIF('Char Sheet p1'!$AP$7:$AP$35,DQ203)=0,0,ROUNDDOWN(SUMIF('Char Sheet p1'!$AP$7:$AP$35,DQ203,'Char Sheet p1'!$AQ$7:$AQ$35)/10,0))</f>
        <v>0</v>
      </c>
      <c r="DX203" s="240">
        <f t="shared" si="149"/>
        <v>0</v>
      </c>
      <c r="DY203" s="36">
        <f t="shared" si="137"/>
        <v>20</v>
      </c>
      <c r="DZ203" s="36" t="str">
        <f t="shared" si="144"/>
        <v/>
      </c>
      <c r="EE203" s="36">
        <f t="shared" si="136"/>
        <v>3</v>
      </c>
    </row>
    <row r="204" spans="33:135">
      <c r="AG204" s="32"/>
      <c r="AH204" s="34"/>
      <c r="AI204" s="34"/>
      <c r="AJ204" s="31"/>
      <c r="AK204" s="31"/>
      <c r="AL204" s="31" t="str">
        <f t="shared" si="138"/>
        <v/>
      </c>
      <c r="AM204" s="31"/>
      <c r="AN204" s="31">
        <f t="shared" si="150"/>
        <v>203</v>
      </c>
      <c r="AO204" s="35"/>
      <c r="AP204" s="134"/>
      <c r="AQ204" s="47"/>
      <c r="AR204" s="134"/>
      <c r="AS204" s="47"/>
      <c r="AT204" s="134"/>
      <c r="AU204" s="47"/>
      <c r="AV204" s="134"/>
      <c r="AW204" s="47"/>
      <c r="AX204" s="134"/>
      <c r="AY204" s="47"/>
      <c r="AZ204" s="134"/>
      <c r="BA204" s="47"/>
      <c r="BB204" s="134"/>
      <c r="BC204" s="47"/>
      <c r="BD204" s="134"/>
      <c r="BE204" s="47"/>
      <c r="BF204" s="134"/>
      <c r="BG204" s="47"/>
      <c r="BH204" s="134"/>
      <c r="BI204" s="47"/>
      <c r="BJ204" s="134"/>
      <c r="BK204" s="47"/>
      <c r="BL204" s="134"/>
      <c r="BM204" s="47"/>
      <c r="BN204" s="134"/>
      <c r="BO204" s="47"/>
      <c r="BP204" s="134"/>
      <c r="BQ204" s="47"/>
      <c r="BR204" s="134"/>
      <c r="BS204" s="47"/>
      <c r="BT204" s="134"/>
      <c r="BU204" s="47"/>
      <c r="BV204" s="134"/>
      <c r="BW204" s="47"/>
      <c r="BX204" s="134"/>
      <c r="BY204" s="47"/>
      <c r="BZ204" s="134"/>
      <c r="CA204" s="47"/>
      <c r="CB204" s="120"/>
      <c r="CC204" s="120"/>
      <c r="CD204" s="120"/>
      <c r="CE204" s="120"/>
      <c r="CF204" s="120"/>
      <c r="CG204" s="120"/>
      <c r="CH204" s="120"/>
      <c r="CI204" s="120"/>
      <c r="CJ204" s="120"/>
      <c r="CK204" s="179" t="str">
        <f t="shared" si="129"/>
        <v/>
      </c>
      <c r="CM204" s="36" t="str">
        <f t="shared" si="145"/>
        <v/>
      </c>
      <c r="CO204" s="36" t="str">
        <f t="shared" si="146"/>
        <v/>
      </c>
      <c r="CS204" s="28" t="str">
        <f t="shared" si="130"/>
        <v/>
      </c>
      <c r="CU204" s="28" t="str">
        <f t="shared" si="130"/>
        <v/>
      </c>
      <c r="CW204" s="28" t="str">
        <f t="shared" si="139"/>
        <v/>
      </c>
      <c r="CY204" s="28" t="str">
        <f t="shared" si="140"/>
        <v/>
      </c>
      <c r="DA204" s="28" t="str">
        <f t="shared" si="141"/>
        <v/>
      </c>
      <c r="DC204" s="28" t="str">
        <f t="shared" si="142"/>
        <v/>
      </c>
      <c r="DN204" s="32">
        <v>203</v>
      </c>
      <c r="DO204" s="34" t="s">
        <v>672</v>
      </c>
      <c r="DP204" s="38">
        <f t="shared" si="135"/>
        <v>0</v>
      </c>
      <c r="DQ204" s="173" t="str">
        <f t="shared" si="147"/>
        <v>(Figh) 0</v>
      </c>
      <c r="DR204" s="36" t="str">
        <f t="shared" si="148"/>
        <v/>
      </c>
      <c r="DV204" s="176">
        <f t="shared" si="143"/>
        <v>0</v>
      </c>
      <c r="DW204" s="243">
        <f>IF(COUNTIF('Char Sheet p1'!$AP$7:$AP$35,DQ204)=0,0,ROUNDDOWN(SUMIF('Char Sheet p1'!$AP$7:$AP$35,DQ204,'Char Sheet p1'!$AQ$7:$AQ$35)/10,0))</f>
        <v>0</v>
      </c>
      <c r="DX204" s="240">
        <f t="shared" si="149"/>
        <v>0</v>
      </c>
      <c r="DY204" s="36">
        <f t="shared" si="137"/>
        <v>21</v>
      </c>
      <c r="DZ204" s="36" t="str">
        <f t="shared" si="144"/>
        <v/>
      </c>
      <c r="EE204" s="36">
        <f t="shared" si="136"/>
        <v>3</v>
      </c>
    </row>
    <row r="205" spans="33:135">
      <c r="AG205" s="32"/>
      <c r="AH205" s="34"/>
      <c r="AI205" s="34"/>
      <c r="AJ205" s="31"/>
      <c r="AK205" s="31"/>
      <c r="AL205" s="31" t="str">
        <f t="shared" si="138"/>
        <v/>
      </c>
      <c r="AM205" s="31"/>
      <c r="AN205" s="31">
        <f t="shared" si="150"/>
        <v>204</v>
      </c>
      <c r="AO205" s="35"/>
      <c r="AP205" s="134"/>
      <c r="AQ205" s="47"/>
      <c r="AR205" s="134"/>
      <c r="AS205" s="47"/>
      <c r="AT205" s="134"/>
      <c r="AU205" s="47"/>
      <c r="AV205" s="134"/>
      <c r="AW205" s="47"/>
      <c r="AX205" s="134"/>
      <c r="AY205" s="47"/>
      <c r="AZ205" s="134"/>
      <c r="BA205" s="47"/>
      <c r="BB205" s="134"/>
      <c r="BC205" s="47"/>
      <c r="BD205" s="134"/>
      <c r="BE205" s="47"/>
      <c r="BF205" s="134"/>
      <c r="BG205" s="47"/>
      <c r="BH205" s="134"/>
      <c r="BI205" s="47"/>
      <c r="BJ205" s="134"/>
      <c r="BK205" s="47"/>
      <c r="BL205" s="134"/>
      <c r="BM205" s="47"/>
      <c r="BN205" s="134"/>
      <c r="BO205" s="47"/>
      <c r="BP205" s="134"/>
      <c r="BQ205" s="47"/>
      <c r="BR205" s="134"/>
      <c r="BS205" s="47"/>
      <c r="BT205" s="134"/>
      <c r="BU205" s="47"/>
      <c r="BV205" s="134"/>
      <c r="BW205" s="47"/>
      <c r="BX205" s="134"/>
      <c r="BY205" s="47"/>
      <c r="BZ205" s="134"/>
      <c r="CA205" s="47"/>
      <c r="CB205" s="120"/>
      <c r="CC205" s="120"/>
      <c r="CD205" s="120"/>
      <c r="CE205" s="120"/>
      <c r="CF205" s="120"/>
      <c r="CG205" s="120"/>
      <c r="CH205" s="120"/>
      <c r="CI205" s="120"/>
      <c r="CJ205" s="120"/>
      <c r="CK205" s="179" t="str">
        <f t="shared" si="129"/>
        <v/>
      </c>
      <c r="CM205" s="36" t="str">
        <f t="shared" si="145"/>
        <v/>
      </c>
      <c r="CO205" s="36" t="str">
        <f t="shared" si="146"/>
        <v/>
      </c>
      <c r="CS205" s="28" t="str">
        <f t="shared" si="130"/>
        <v/>
      </c>
      <c r="CU205" s="28" t="str">
        <f t="shared" si="130"/>
        <v/>
      </c>
      <c r="CW205" s="28" t="str">
        <f t="shared" si="139"/>
        <v/>
      </c>
      <c r="CY205" s="28" t="str">
        <f t="shared" si="140"/>
        <v/>
      </c>
      <c r="DA205" s="28" t="str">
        <f t="shared" si="141"/>
        <v/>
      </c>
      <c r="DC205" s="28" t="str">
        <f t="shared" si="142"/>
        <v/>
      </c>
      <c r="DN205" s="32">
        <v>204</v>
      </c>
      <c r="DO205" s="34" t="s">
        <v>672</v>
      </c>
      <c r="DP205" s="38">
        <f t="shared" si="135"/>
        <v>0</v>
      </c>
      <c r="DQ205" s="173" t="str">
        <f t="shared" si="147"/>
        <v>(Figh) 0</v>
      </c>
      <c r="DR205" s="36" t="str">
        <f t="shared" si="148"/>
        <v/>
      </c>
      <c r="DV205" s="176">
        <f t="shared" si="143"/>
        <v>0</v>
      </c>
      <c r="DW205" s="243">
        <f>IF(COUNTIF('Char Sheet p1'!$AP$7:$AP$35,DQ205)=0,0,ROUNDDOWN(SUMIF('Char Sheet p1'!$AP$7:$AP$35,DQ205,'Char Sheet p1'!$AQ$7:$AQ$35)/10,0))</f>
        <v>0</v>
      </c>
      <c r="DX205" s="240">
        <f t="shared" si="149"/>
        <v>0</v>
      </c>
      <c r="DY205" s="36">
        <f t="shared" si="137"/>
        <v>22</v>
      </c>
      <c r="DZ205" s="36" t="str">
        <f t="shared" si="144"/>
        <v/>
      </c>
      <c r="EE205" s="36">
        <f t="shared" si="136"/>
        <v>3</v>
      </c>
    </row>
    <row r="206" spans="33:135">
      <c r="AG206" s="32"/>
      <c r="AH206" s="34"/>
      <c r="AI206" s="34"/>
      <c r="AJ206" s="31"/>
      <c r="AK206" s="31"/>
      <c r="AL206" s="31" t="str">
        <f t="shared" si="138"/>
        <v/>
      </c>
      <c r="AM206" s="31"/>
      <c r="AN206" s="31">
        <f t="shared" si="150"/>
        <v>205</v>
      </c>
      <c r="AO206" s="35"/>
      <c r="AP206" s="134"/>
      <c r="AQ206" s="47"/>
      <c r="AR206" s="134"/>
      <c r="AS206" s="47"/>
      <c r="AT206" s="134"/>
      <c r="AU206" s="47"/>
      <c r="AV206" s="134"/>
      <c r="AW206" s="47"/>
      <c r="AX206" s="134"/>
      <c r="AY206" s="47"/>
      <c r="AZ206" s="134"/>
      <c r="BA206" s="47"/>
      <c r="BB206" s="134"/>
      <c r="BC206" s="47"/>
      <c r="BD206" s="134"/>
      <c r="BE206" s="47"/>
      <c r="BF206" s="134"/>
      <c r="BG206" s="47"/>
      <c r="BH206" s="134"/>
      <c r="BI206" s="47"/>
      <c r="BJ206" s="134"/>
      <c r="BK206" s="47"/>
      <c r="BL206" s="134"/>
      <c r="BM206" s="47"/>
      <c r="BN206" s="134"/>
      <c r="BO206" s="47"/>
      <c r="BP206" s="134"/>
      <c r="BQ206" s="47"/>
      <c r="BR206" s="134"/>
      <c r="BS206" s="47"/>
      <c r="BT206" s="134"/>
      <c r="BU206" s="47"/>
      <c r="BV206" s="134"/>
      <c r="BW206" s="47"/>
      <c r="BX206" s="134"/>
      <c r="BY206" s="47"/>
      <c r="BZ206" s="134"/>
      <c r="CA206" s="47"/>
      <c r="CB206" s="120"/>
      <c r="CC206" s="120"/>
      <c r="CD206" s="120"/>
      <c r="CE206" s="120"/>
      <c r="CF206" s="120"/>
      <c r="CG206" s="120"/>
      <c r="CH206" s="120"/>
      <c r="CI206" s="120"/>
      <c r="CJ206" s="120"/>
      <c r="CK206" s="179" t="str">
        <f t="shared" si="129"/>
        <v/>
      </c>
      <c r="CM206" s="36" t="str">
        <f t="shared" si="145"/>
        <v/>
      </c>
      <c r="CO206" s="36" t="str">
        <f t="shared" si="146"/>
        <v/>
      </c>
      <c r="CS206" s="28" t="str">
        <f t="shared" si="130"/>
        <v/>
      </c>
      <c r="CU206" s="28" t="str">
        <f t="shared" si="130"/>
        <v/>
      </c>
      <c r="CW206" s="28" t="str">
        <f t="shared" si="139"/>
        <v/>
      </c>
      <c r="CY206" s="28" t="str">
        <f t="shared" si="140"/>
        <v/>
      </c>
      <c r="DA206" s="28" t="str">
        <f t="shared" si="141"/>
        <v/>
      </c>
      <c r="DC206" s="28" t="str">
        <f t="shared" si="142"/>
        <v/>
      </c>
      <c r="DN206" s="32">
        <v>205</v>
      </c>
      <c r="DO206" s="34" t="s">
        <v>672</v>
      </c>
      <c r="DP206" s="38">
        <f t="shared" si="135"/>
        <v>0</v>
      </c>
      <c r="DQ206" s="173" t="str">
        <f t="shared" si="147"/>
        <v>(Figh) 0</v>
      </c>
      <c r="DR206" s="36" t="str">
        <f t="shared" si="148"/>
        <v/>
      </c>
      <c r="DV206" s="176">
        <f t="shared" si="143"/>
        <v>0</v>
      </c>
      <c r="DW206" s="243">
        <f>IF(COUNTIF('Char Sheet p1'!$AP$7:$AP$35,DQ206)=0,0,ROUNDDOWN(SUMIF('Char Sheet p1'!$AP$7:$AP$35,DQ206,'Char Sheet p1'!$AQ$7:$AQ$35)/10,0))</f>
        <v>0</v>
      </c>
      <c r="DX206" s="240">
        <f t="shared" si="149"/>
        <v>0</v>
      </c>
      <c r="DY206" s="36">
        <f t="shared" si="137"/>
        <v>23</v>
      </c>
      <c r="DZ206" s="36" t="str">
        <f t="shared" si="144"/>
        <v/>
      </c>
      <c r="EE206" s="36">
        <f t="shared" si="136"/>
        <v>3</v>
      </c>
    </row>
    <row r="207" spans="33:135">
      <c r="AG207" s="32"/>
      <c r="AH207" s="34"/>
      <c r="AI207" s="34"/>
      <c r="AJ207" s="31"/>
      <c r="AK207" s="31"/>
      <c r="AL207" s="31" t="str">
        <f t="shared" si="138"/>
        <v/>
      </c>
      <c r="AM207" s="31"/>
      <c r="AN207" s="31">
        <f t="shared" si="150"/>
        <v>206</v>
      </c>
      <c r="AO207" s="35"/>
      <c r="AP207" s="134"/>
      <c r="AQ207" s="47"/>
      <c r="AR207" s="134"/>
      <c r="AS207" s="47"/>
      <c r="AT207" s="134"/>
      <c r="AU207" s="47"/>
      <c r="AV207" s="134"/>
      <c r="AW207" s="47"/>
      <c r="AX207" s="134"/>
      <c r="AY207" s="47"/>
      <c r="AZ207" s="134"/>
      <c r="BA207" s="47"/>
      <c r="BB207" s="134"/>
      <c r="BC207" s="47"/>
      <c r="BD207" s="134"/>
      <c r="BE207" s="47"/>
      <c r="BF207" s="134"/>
      <c r="BG207" s="47"/>
      <c r="BH207" s="134"/>
      <c r="BI207" s="47"/>
      <c r="BJ207" s="134"/>
      <c r="BK207" s="47"/>
      <c r="BL207" s="134"/>
      <c r="BM207" s="47"/>
      <c r="BN207" s="134"/>
      <c r="BO207" s="47"/>
      <c r="BP207" s="134"/>
      <c r="BQ207" s="47"/>
      <c r="BR207" s="134"/>
      <c r="BS207" s="47"/>
      <c r="BT207" s="134"/>
      <c r="BU207" s="47"/>
      <c r="BV207" s="134"/>
      <c r="BW207" s="47"/>
      <c r="BX207" s="134"/>
      <c r="BY207" s="47"/>
      <c r="BZ207" s="134"/>
      <c r="CA207" s="47"/>
      <c r="CB207" s="120"/>
      <c r="CC207" s="120"/>
      <c r="CD207" s="120"/>
      <c r="CE207" s="120"/>
      <c r="CF207" s="120"/>
      <c r="CG207" s="120"/>
      <c r="CH207" s="120"/>
      <c r="CI207" s="120"/>
      <c r="CJ207" s="120"/>
      <c r="CK207" s="179" t="str">
        <f t="shared" si="129"/>
        <v/>
      </c>
      <c r="CM207" s="36" t="str">
        <f t="shared" si="145"/>
        <v/>
      </c>
      <c r="CO207" s="36" t="str">
        <f t="shared" si="146"/>
        <v/>
      </c>
      <c r="CS207" s="28" t="str">
        <f t="shared" si="130"/>
        <v/>
      </c>
      <c r="CU207" s="28" t="str">
        <f t="shared" si="130"/>
        <v/>
      </c>
      <c r="CW207" s="28" t="str">
        <f t="shared" si="139"/>
        <v/>
      </c>
      <c r="CY207" s="28" t="str">
        <f t="shared" si="140"/>
        <v/>
      </c>
      <c r="DA207" s="28" t="str">
        <f t="shared" si="141"/>
        <v/>
      </c>
      <c r="DC207" s="28" t="str">
        <f t="shared" si="142"/>
        <v/>
      </c>
      <c r="DN207" s="32">
        <v>206</v>
      </c>
      <c r="DO207" s="34" t="s">
        <v>672</v>
      </c>
      <c r="DP207" s="38">
        <f t="shared" si="135"/>
        <v>0</v>
      </c>
      <c r="DQ207" s="173" t="str">
        <f t="shared" si="147"/>
        <v>(Figh) 0</v>
      </c>
      <c r="DR207" s="36" t="str">
        <f t="shared" si="148"/>
        <v/>
      </c>
      <c r="DV207" s="176">
        <f t="shared" si="143"/>
        <v>0</v>
      </c>
      <c r="DW207" s="243">
        <f>IF(COUNTIF('Char Sheet p1'!$AP$7:$AP$35,DQ207)=0,0,ROUNDDOWN(SUMIF('Char Sheet p1'!$AP$7:$AP$35,DQ207,'Char Sheet p1'!$AQ$7:$AQ$35)/10,0))</f>
        <v>0</v>
      </c>
      <c r="DX207" s="240">
        <f t="shared" si="149"/>
        <v>0</v>
      </c>
      <c r="DY207" s="36">
        <f t="shared" si="137"/>
        <v>24</v>
      </c>
      <c r="DZ207" s="36" t="str">
        <f t="shared" si="144"/>
        <v/>
      </c>
      <c r="EE207" s="36">
        <f t="shared" si="136"/>
        <v>3</v>
      </c>
    </row>
    <row r="208" spans="33:135">
      <c r="AG208" s="32"/>
      <c r="AH208" s="34"/>
      <c r="AI208" s="34"/>
      <c r="AJ208" s="31"/>
      <c r="AK208" s="31"/>
      <c r="AL208" s="31" t="str">
        <f t="shared" si="138"/>
        <v/>
      </c>
      <c r="AM208" s="31"/>
      <c r="AN208" s="31">
        <f t="shared" si="150"/>
        <v>207</v>
      </c>
      <c r="AO208" s="35"/>
      <c r="AP208" s="134"/>
      <c r="AQ208" s="47"/>
      <c r="AR208" s="134"/>
      <c r="AS208" s="47"/>
      <c r="AT208" s="134"/>
      <c r="AU208" s="47"/>
      <c r="AV208" s="134"/>
      <c r="AW208" s="47"/>
      <c r="AX208" s="134"/>
      <c r="AY208" s="47"/>
      <c r="AZ208" s="134"/>
      <c r="BA208" s="47"/>
      <c r="BB208" s="134"/>
      <c r="BC208" s="47"/>
      <c r="BD208" s="134"/>
      <c r="BE208" s="47"/>
      <c r="BF208" s="134"/>
      <c r="BG208" s="47"/>
      <c r="BH208" s="134"/>
      <c r="BI208" s="47"/>
      <c r="BJ208" s="134"/>
      <c r="BK208" s="47"/>
      <c r="BL208" s="134"/>
      <c r="BM208" s="47"/>
      <c r="BN208" s="134"/>
      <c r="BO208" s="47"/>
      <c r="BP208" s="134"/>
      <c r="BQ208" s="47"/>
      <c r="BR208" s="134"/>
      <c r="BS208" s="47"/>
      <c r="BT208" s="134"/>
      <c r="BU208" s="47"/>
      <c r="BV208" s="134"/>
      <c r="BW208" s="47"/>
      <c r="BX208" s="134"/>
      <c r="BY208" s="47"/>
      <c r="BZ208" s="134"/>
      <c r="CA208" s="47"/>
      <c r="CB208" s="120"/>
      <c r="CC208" s="120"/>
      <c r="CD208" s="120"/>
      <c r="CE208" s="120"/>
      <c r="CF208" s="120"/>
      <c r="CG208" s="120"/>
      <c r="CH208" s="120"/>
      <c r="CI208" s="120"/>
      <c r="CJ208" s="120"/>
      <c r="CK208" s="179" t="str">
        <f t="shared" si="129"/>
        <v/>
      </c>
      <c r="CM208" s="36" t="str">
        <f t="shared" si="145"/>
        <v/>
      </c>
      <c r="CO208" s="36" t="str">
        <f t="shared" si="146"/>
        <v/>
      </c>
      <c r="CS208" s="28" t="str">
        <f t="shared" si="130"/>
        <v/>
      </c>
      <c r="CU208" s="28" t="str">
        <f t="shared" si="130"/>
        <v/>
      </c>
      <c r="CW208" s="28" t="str">
        <f t="shared" si="139"/>
        <v/>
      </c>
      <c r="CY208" s="28" t="str">
        <f t="shared" si="140"/>
        <v/>
      </c>
      <c r="DA208" s="28" t="str">
        <f t="shared" si="141"/>
        <v/>
      </c>
      <c r="DC208" s="28" t="str">
        <f t="shared" si="142"/>
        <v/>
      </c>
      <c r="DN208" s="32">
        <v>207</v>
      </c>
      <c r="DO208" s="34" t="s">
        <v>672</v>
      </c>
      <c r="DP208" s="38">
        <f t="shared" si="135"/>
        <v>0</v>
      </c>
      <c r="DQ208" s="173" t="str">
        <f t="shared" si="147"/>
        <v>(Figh) 0</v>
      </c>
      <c r="DR208" s="36" t="str">
        <f t="shared" si="148"/>
        <v/>
      </c>
      <c r="DV208" s="176">
        <f t="shared" si="143"/>
        <v>0</v>
      </c>
      <c r="DW208" s="243">
        <f>IF(COUNTIF('Char Sheet p1'!$AP$7:$AP$35,DQ208)=0,0,ROUNDDOWN(SUMIF('Char Sheet p1'!$AP$7:$AP$35,DQ208,'Char Sheet p1'!$AQ$7:$AQ$35)/10,0))</f>
        <v>0</v>
      </c>
      <c r="DX208" s="240">
        <f t="shared" si="149"/>
        <v>0</v>
      </c>
      <c r="DY208" s="36">
        <f t="shared" si="137"/>
        <v>25</v>
      </c>
      <c r="DZ208" s="36" t="str">
        <f t="shared" si="144"/>
        <v/>
      </c>
      <c r="EE208" s="36">
        <f t="shared" si="136"/>
        <v>3</v>
      </c>
    </row>
    <row r="209" spans="33:135">
      <c r="AG209" s="32"/>
      <c r="AH209" s="34"/>
      <c r="AI209" s="34"/>
      <c r="AJ209" s="31"/>
      <c r="AK209" s="31"/>
      <c r="AL209" s="31" t="str">
        <f t="shared" si="138"/>
        <v/>
      </c>
      <c r="AM209" s="31"/>
      <c r="AN209" s="31">
        <f t="shared" si="150"/>
        <v>208</v>
      </c>
      <c r="AO209" s="35"/>
      <c r="AP209" s="134"/>
      <c r="AQ209" s="47"/>
      <c r="AR209" s="134"/>
      <c r="AS209" s="47"/>
      <c r="AT209" s="134"/>
      <c r="AU209" s="47"/>
      <c r="AV209" s="134"/>
      <c r="AW209" s="47"/>
      <c r="AX209" s="134"/>
      <c r="AY209" s="47"/>
      <c r="AZ209" s="134"/>
      <c r="BA209" s="47"/>
      <c r="BB209" s="134"/>
      <c r="BC209" s="47"/>
      <c r="BD209" s="134"/>
      <c r="BE209" s="47"/>
      <c r="BF209" s="134"/>
      <c r="BG209" s="47"/>
      <c r="BH209" s="134"/>
      <c r="BI209" s="47"/>
      <c r="BJ209" s="134"/>
      <c r="BK209" s="47"/>
      <c r="BL209" s="134"/>
      <c r="BM209" s="47"/>
      <c r="BN209" s="134"/>
      <c r="BO209" s="47"/>
      <c r="BP209" s="134"/>
      <c r="BQ209" s="47"/>
      <c r="BR209" s="134"/>
      <c r="BS209" s="47"/>
      <c r="BT209" s="134"/>
      <c r="BU209" s="47"/>
      <c r="BV209" s="134"/>
      <c r="BW209" s="47"/>
      <c r="BX209" s="134"/>
      <c r="BY209" s="47"/>
      <c r="BZ209" s="134"/>
      <c r="CA209" s="47"/>
      <c r="CB209" s="120"/>
      <c r="CC209" s="120"/>
      <c r="CD209" s="120"/>
      <c r="CE209" s="120"/>
      <c r="CF209" s="120"/>
      <c r="CG209" s="120"/>
      <c r="CH209" s="120"/>
      <c r="CI209" s="120"/>
      <c r="CJ209" s="120"/>
      <c r="CK209" s="179" t="str">
        <f t="shared" si="129"/>
        <v/>
      </c>
      <c r="CM209" s="36" t="str">
        <f t="shared" si="145"/>
        <v/>
      </c>
      <c r="CO209" s="36" t="str">
        <f t="shared" si="146"/>
        <v/>
      </c>
      <c r="CS209" s="28" t="str">
        <f t="shared" si="130"/>
        <v/>
      </c>
      <c r="CU209" s="28" t="str">
        <f t="shared" si="130"/>
        <v/>
      </c>
      <c r="CW209" s="28" t="str">
        <f t="shared" si="139"/>
        <v/>
      </c>
      <c r="CY209" s="28" t="str">
        <f t="shared" si="140"/>
        <v/>
      </c>
      <c r="DA209" s="28" t="str">
        <f t="shared" si="141"/>
        <v/>
      </c>
      <c r="DC209" s="28" t="str">
        <f t="shared" si="142"/>
        <v/>
      </c>
      <c r="DN209" s="32">
        <v>208</v>
      </c>
      <c r="DO209" s="34" t="s">
        <v>672</v>
      </c>
      <c r="DP209" s="38">
        <f t="shared" si="135"/>
        <v>0</v>
      </c>
      <c r="DQ209" s="173" t="str">
        <f t="shared" si="147"/>
        <v>(Figh) 0</v>
      </c>
      <c r="DR209" s="36" t="str">
        <f t="shared" si="148"/>
        <v/>
      </c>
      <c r="DV209" s="176">
        <f t="shared" si="143"/>
        <v>0</v>
      </c>
      <c r="DW209" s="243">
        <f>IF(COUNTIF('Char Sheet p1'!$AP$7:$AP$35,DQ209)=0,0,ROUNDDOWN(SUMIF('Char Sheet p1'!$AP$7:$AP$35,DQ209,'Char Sheet p1'!$AQ$7:$AQ$35)/10,0))</f>
        <v>0</v>
      </c>
      <c r="DX209" s="240">
        <f t="shared" si="149"/>
        <v>0</v>
      </c>
      <c r="DY209" s="36">
        <f t="shared" si="137"/>
        <v>26</v>
      </c>
      <c r="DZ209" s="36" t="str">
        <f t="shared" si="144"/>
        <v/>
      </c>
      <c r="EE209" s="55">
        <f t="shared" si="136"/>
        <v>3</v>
      </c>
    </row>
    <row r="210" spans="33:135">
      <c r="AG210" s="32"/>
      <c r="AH210" s="34"/>
      <c r="AI210" s="34"/>
      <c r="AJ210" s="31"/>
      <c r="AK210" s="31"/>
      <c r="AL210" s="31" t="str">
        <f t="shared" si="138"/>
        <v/>
      </c>
      <c r="AM210" s="31"/>
      <c r="AN210" s="31">
        <f t="shared" si="150"/>
        <v>209</v>
      </c>
      <c r="AO210" s="35"/>
      <c r="AP210" s="134"/>
      <c r="AQ210" s="47"/>
      <c r="AR210" s="134"/>
      <c r="AS210" s="47"/>
      <c r="AT210" s="134"/>
      <c r="AU210" s="47"/>
      <c r="AV210" s="134"/>
      <c r="AW210" s="47"/>
      <c r="AX210" s="134"/>
      <c r="AY210" s="47"/>
      <c r="AZ210" s="134"/>
      <c r="BA210" s="47"/>
      <c r="BB210" s="134"/>
      <c r="BC210" s="47"/>
      <c r="BD210" s="134"/>
      <c r="BE210" s="47"/>
      <c r="BF210" s="134"/>
      <c r="BG210" s="47"/>
      <c r="BH210" s="134"/>
      <c r="BI210" s="47"/>
      <c r="BJ210" s="134"/>
      <c r="BK210" s="47"/>
      <c r="BL210" s="134"/>
      <c r="BM210" s="47"/>
      <c r="BN210" s="134"/>
      <c r="BO210" s="47"/>
      <c r="BP210" s="134"/>
      <c r="BQ210" s="47"/>
      <c r="BR210" s="134"/>
      <c r="BS210" s="47"/>
      <c r="BT210" s="134"/>
      <c r="BU210" s="47"/>
      <c r="BV210" s="134"/>
      <c r="BW210" s="47"/>
      <c r="BX210" s="134"/>
      <c r="BY210" s="47"/>
      <c r="BZ210" s="134"/>
      <c r="CA210" s="47"/>
      <c r="CB210" s="120"/>
      <c r="CC210" s="120"/>
      <c r="CD210" s="120"/>
      <c r="CE210" s="120"/>
      <c r="CF210" s="120"/>
      <c r="CG210" s="120"/>
      <c r="CH210" s="120"/>
      <c r="CI210" s="120"/>
      <c r="CJ210" s="120"/>
      <c r="CK210" s="179" t="str">
        <f t="shared" si="129"/>
        <v/>
      </c>
      <c r="CM210" s="36" t="str">
        <f t="shared" si="145"/>
        <v/>
      </c>
      <c r="CO210" s="36" t="str">
        <f t="shared" si="146"/>
        <v/>
      </c>
      <c r="CS210" s="28" t="str">
        <f t="shared" si="130"/>
        <v/>
      </c>
      <c r="CU210" s="28" t="str">
        <f t="shared" si="130"/>
        <v/>
      </c>
      <c r="CW210" s="28" t="str">
        <f t="shared" si="139"/>
        <v/>
      </c>
      <c r="CY210" s="28" t="str">
        <f t="shared" si="140"/>
        <v/>
      </c>
      <c r="DA210" s="28" t="str">
        <f t="shared" si="141"/>
        <v/>
      </c>
      <c r="DC210" s="28" t="str">
        <f t="shared" si="142"/>
        <v/>
      </c>
      <c r="DN210" s="32">
        <v>209</v>
      </c>
      <c r="DO210" s="34" t="s">
        <v>682</v>
      </c>
      <c r="DP210" s="38" t="str">
        <f t="shared" ref="DP210:DP235" si="151">T2</f>
        <v>Diagnosis</v>
      </c>
      <c r="DQ210" s="173" t="str">
        <f t="shared" si="147"/>
        <v>(Heal) Diagnosis</v>
      </c>
      <c r="DR210" s="36">
        <f t="shared" si="148"/>
        <v>209</v>
      </c>
      <c r="DV210" s="176">
        <f t="shared" si="143"/>
        <v>0</v>
      </c>
      <c r="DW210" s="243">
        <f>IF(COUNTIF('Char Sheet p1'!$AP$7:$AP$35,DQ210)=0,0,ROUNDDOWN(SUMIF('Char Sheet p1'!$AP$7:$AP$35,DQ210,'Char Sheet p1'!$AQ$7:$AQ$35)/10,0))</f>
        <v>0</v>
      </c>
      <c r="DX210" s="240">
        <f t="shared" si="149"/>
        <v>0</v>
      </c>
      <c r="DY210" s="36">
        <v>1</v>
      </c>
      <c r="DZ210" s="36" t="str">
        <f t="shared" si="144"/>
        <v/>
      </c>
      <c r="EE210" s="245">
        <f>'Char Sheet p1'!B30</f>
        <v>3</v>
      </c>
    </row>
    <row r="211" spans="33:135">
      <c r="AG211" s="32"/>
      <c r="AH211" s="34"/>
      <c r="AI211" s="34"/>
      <c r="AJ211" s="31"/>
      <c r="AK211" s="31"/>
      <c r="AL211" s="31" t="str">
        <f t="shared" si="138"/>
        <v/>
      </c>
      <c r="AM211" s="31"/>
      <c r="AN211" s="31">
        <f t="shared" si="150"/>
        <v>210</v>
      </c>
      <c r="AO211" s="35"/>
      <c r="AP211" s="134"/>
      <c r="AQ211" s="47"/>
      <c r="AR211" s="134"/>
      <c r="AS211" s="47"/>
      <c r="AT211" s="134"/>
      <c r="AU211" s="47"/>
      <c r="AV211" s="134"/>
      <c r="AW211" s="47"/>
      <c r="AX211" s="134"/>
      <c r="AY211" s="47"/>
      <c r="AZ211" s="134"/>
      <c r="BA211" s="47"/>
      <c r="BB211" s="134"/>
      <c r="BC211" s="47"/>
      <c r="BD211" s="134"/>
      <c r="BE211" s="47"/>
      <c r="BF211" s="134"/>
      <c r="BG211" s="47"/>
      <c r="BH211" s="134"/>
      <c r="BI211" s="47"/>
      <c r="BJ211" s="134"/>
      <c r="BK211" s="47"/>
      <c r="BL211" s="134"/>
      <c r="BM211" s="47"/>
      <c r="BN211" s="134"/>
      <c r="BO211" s="47"/>
      <c r="BP211" s="134"/>
      <c r="BQ211" s="47"/>
      <c r="BR211" s="134"/>
      <c r="BS211" s="47"/>
      <c r="BT211" s="134"/>
      <c r="BU211" s="47"/>
      <c r="BV211" s="134"/>
      <c r="BW211" s="47"/>
      <c r="BX211" s="134"/>
      <c r="BY211" s="47"/>
      <c r="BZ211" s="134"/>
      <c r="CA211" s="47"/>
      <c r="CB211" s="120"/>
      <c r="CC211" s="120"/>
      <c r="CD211" s="120"/>
      <c r="CE211" s="120"/>
      <c r="CF211" s="120"/>
      <c r="CG211" s="120"/>
      <c r="CH211" s="120"/>
      <c r="CI211" s="120"/>
      <c r="CJ211" s="120"/>
      <c r="CK211" s="179" t="str">
        <f t="shared" si="129"/>
        <v/>
      </c>
      <c r="CM211" s="36" t="str">
        <f t="shared" si="145"/>
        <v/>
      </c>
      <c r="CO211" s="36" t="str">
        <f t="shared" si="146"/>
        <v/>
      </c>
      <c r="CS211" s="28" t="str">
        <f t="shared" si="130"/>
        <v/>
      </c>
      <c r="CU211" s="28" t="str">
        <f t="shared" si="130"/>
        <v/>
      </c>
      <c r="CW211" s="28" t="str">
        <f t="shared" si="139"/>
        <v/>
      </c>
      <c r="CY211" s="28" t="str">
        <f t="shared" si="140"/>
        <v/>
      </c>
      <c r="DA211" s="28" t="str">
        <f t="shared" si="141"/>
        <v/>
      </c>
      <c r="DC211" s="28" t="str">
        <f t="shared" si="142"/>
        <v/>
      </c>
      <c r="DN211" s="32">
        <v>210</v>
      </c>
      <c r="DO211" s="34" t="s">
        <v>682</v>
      </c>
      <c r="DP211" s="38" t="str">
        <f t="shared" si="151"/>
        <v>Treat Ailment</v>
      </c>
      <c r="DQ211" s="173" t="str">
        <f t="shared" si="147"/>
        <v>(Heal) Treat Ailment</v>
      </c>
      <c r="DR211" s="36">
        <f t="shared" si="148"/>
        <v>210</v>
      </c>
      <c r="DV211" s="176">
        <f t="shared" si="143"/>
        <v>0</v>
      </c>
      <c r="DW211" s="243">
        <f>IF(COUNTIF('Char Sheet p1'!$AP$7:$AP$35,DQ211)=0,0,ROUNDDOWN(SUMIF('Char Sheet p1'!$AP$7:$AP$35,DQ211,'Char Sheet p1'!$AQ$7:$AQ$35)/10,0))</f>
        <v>0</v>
      </c>
      <c r="DX211" s="240">
        <f t="shared" si="149"/>
        <v>0</v>
      </c>
      <c r="DY211" s="36">
        <v>2</v>
      </c>
      <c r="DZ211" s="36" t="str">
        <f t="shared" si="144"/>
        <v/>
      </c>
      <c r="EE211" s="36">
        <f>EE210</f>
        <v>3</v>
      </c>
    </row>
    <row r="212" spans="33:135">
      <c r="AG212" s="32"/>
      <c r="AH212" s="34"/>
      <c r="AI212" s="34"/>
      <c r="AJ212" s="31"/>
      <c r="AK212" s="31"/>
      <c r="AL212" s="31" t="str">
        <f t="shared" si="138"/>
        <v/>
      </c>
      <c r="AM212" s="31"/>
      <c r="AN212" s="31">
        <f t="shared" si="150"/>
        <v>211</v>
      </c>
      <c r="AO212" s="35"/>
      <c r="AP212" s="134"/>
      <c r="AQ212" s="47"/>
      <c r="AR212" s="134"/>
      <c r="AS212" s="47"/>
      <c r="AT212" s="134"/>
      <c r="AU212" s="47"/>
      <c r="AV212" s="134"/>
      <c r="AW212" s="47"/>
      <c r="AX212" s="134"/>
      <c r="AY212" s="47"/>
      <c r="AZ212" s="134"/>
      <c r="BA212" s="47"/>
      <c r="BB212" s="134"/>
      <c r="BC212" s="47"/>
      <c r="BD212" s="134"/>
      <c r="BE212" s="47"/>
      <c r="BF212" s="134"/>
      <c r="BG212" s="47"/>
      <c r="BH212" s="134"/>
      <c r="BI212" s="47"/>
      <c r="BJ212" s="134"/>
      <c r="BK212" s="47"/>
      <c r="BL212" s="134"/>
      <c r="BM212" s="47"/>
      <c r="BN212" s="134"/>
      <c r="BO212" s="47"/>
      <c r="BP212" s="134"/>
      <c r="BQ212" s="47"/>
      <c r="BR212" s="134"/>
      <c r="BS212" s="47"/>
      <c r="BT212" s="134"/>
      <c r="BU212" s="47"/>
      <c r="BV212" s="134"/>
      <c r="BW212" s="47"/>
      <c r="BX212" s="134"/>
      <c r="BY212" s="47"/>
      <c r="BZ212" s="134"/>
      <c r="CA212" s="47"/>
      <c r="CB212" s="120"/>
      <c r="CC212" s="120"/>
      <c r="CD212" s="120"/>
      <c r="CE212" s="120"/>
      <c r="CF212" s="120"/>
      <c r="CG212" s="120"/>
      <c r="CH212" s="120"/>
      <c r="CI212" s="120"/>
      <c r="CJ212" s="120"/>
      <c r="CK212" s="179" t="str">
        <f t="shared" si="129"/>
        <v/>
      </c>
      <c r="CM212" s="36" t="str">
        <f t="shared" si="145"/>
        <v/>
      </c>
      <c r="CO212" s="36" t="str">
        <f t="shared" si="146"/>
        <v/>
      </c>
      <c r="CS212" s="28" t="str">
        <f t="shared" si="130"/>
        <v/>
      </c>
      <c r="CU212" s="28" t="str">
        <f t="shared" si="130"/>
        <v/>
      </c>
      <c r="CW212" s="28" t="str">
        <f t="shared" si="139"/>
        <v/>
      </c>
      <c r="CY212" s="28" t="str">
        <f t="shared" si="140"/>
        <v/>
      </c>
      <c r="DA212" s="28" t="str">
        <f t="shared" si="141"/>
        <v/>
      </c>
      <c r="DC212" s="28" t="str">
        <f t="shared" si="142"/>
        <v/>
      </c>
      <c r="DN212" s="32">
        <v>211</v>
      </c>
      <c r="DO212" s="34" t="s">
        <v>682</v>
      </c>
      <c r="DP212" s="38" t="str">
        <f t="shared" si="151"/>
        <v>Treat Injury</v>
      </c>
      <c r="DQ212" s="173" t="str">
        <f t="shared" si="147"/>
        <v>(Heal) Treat Injury</v>
      </c>
      <c r="DR212" s="36">
        <f t="shared" si="148"/>
        <v>211</v>
      </c>
      <c r="DV212" s="176">
        <f t="shared" si="143"/>
        <v>0</v>
      </c>
      <c r="DW212" s="243">
        <f>IF(COUNTIF('Char Sheet p1'!$AP$7:$AP$35,DQ212)=0,0,ROUNDDOWN(SUMIF('Char Sheet p1'!$AP$7:$AP$35,DQ212,'Char Sheet p1'!$AQ$7:$AQ$35)/10,0))</f>
        <v>0</v>
      </c>
      <c r="DX212" s="240">
        <f t="shared" si="149"/>
        <v>0</v>
      </c>
      <c r="DY212" s="36">
        <v>3</v>
      </c>
      <c r="DZ212" s="36" t="str">
        <f t="shared" si="144"/>
        <v/>
      </c>
      <c r="EE212" s="36">
        <f t="shared" ref="EE212:EE235" si="152">EE211</f>
        <v>3</v>
      </c>
    </row>
    <row r="213" spans="33:135">
      <c r="AG213" s="32"/>
      <c r="AH213" s="34"/>
      <c r="AI213" s="34"/>
      <c r="AJ213" s="31"/>
      <c r="AK213" s="31"/>
      <c r="AL213" s="31" t="str">
        <f t="shared" si="138"/>
        <v/>
      </c>
      <c r="AM213" s="31"/>
      <c r="AN213" s="31">
        <f t="shared" si="150"/>
        <v>212</v>
      </c>
      <c r="AO213" s="35"/>
      <c r="AP213" s="134"/>
      <c r="AQ213" s="47"/>
      <c r="AR213" s="134"/>
      <c r="AS213" s="47"/>
      <c r="AT213" s="134"/>
      <c r="AU213" s="47"/>
      <c r="AV213" s="134"/>
      <c r="AW213" s="47"/>
      <c r="AX213" s="134"/>
      <c r="AY213" s="47"/>
      <c r="AZ213" s="134"/>
      <c r="BA213" s="47"/>
      <c r="BB213" s="134"/>
      <c r="BC213" s="47"/>
      <c r="BD213" s="134"/>
      <c r="BE213" s="47"/>
      <c r="BF213" s="134"/>
      <c r="BG213" s="47"/>
      <c r="BH213" s="134"/>
      <c r="BI213" s="47"/>
      <c r="BJ213" s="134"/>
      <c r="BK213" s="47"/>
      <c r="BL213" s="134"/>
      <c r="BM213" s="47"/>
      <c r="BN213" s="134"/>
      <c r="BO213" s="47"/>
      <c r="BP213" s="134"/>
      <c r="BQ213" s="47"/>
      <c r="BR213" s="134"/>
      <c r="BS213" s="47"/>
      <c r="BT213" s="134"/>
      <c r="BU213" s="47"/>
      <c r="BV213" s="134"/>
      <c r="BW213" s="47"/>
      <c r="BX213" s="134"/>
      <c r="BY213" s="47"/>
      <c r="BZ213" s="134"/>
      <c r="CA213" s="47"/>
      <c r="CB213" s="120"/>
      <c r="CC213" s="120"/>
      <c r="CD213" s="120"/>
      <c r="CE213" s="120"/>
      <c r="CF213" s="120"/>
      <c r="CG213" s="120"/>
      <c r="CH213" s="120"/>
      <c r="CI213" s="120"/>
      <c r="CJ213" s="120"/>
      <c r="CK213" s="179" t="str">
        <f t="shared" ref="CK213:CK226" si="153">IF(OR(AM213=0,AND(COUNTIF($CL$148:$CL$153,AG213)&gt;0,AJ213&lt;&gt;"y")),"",AN213)</f>
        <v/>
      </c>
      <c r="CM213" s="36" t="str">
        <f t="shared" si="145"/>
        <v/>
      </c>
      <c r="CO213" s="36" t="str">
        <f t="shared" si="146"/>
        <v/>
      </c>
      <c r="CS213" s="28" t="str">
        <f t="shared" ref="CS213:CU226" si="154">IF(OR($AM213=0,AND(COUNTIF(CT$148:CT$156,$AG213)&gt;0,$AJ213&lt;&gt;"y")),"",$AN213)</f>
        <v/>
      </c>
      <c r="CU213" s="28" t="str">
        <f t="shared" si="154"/>
        <v/>
      </c>
      <c r="CW213" s="28" t="str">
        <f t="shared" si="139"/>
        <v/>
      </c>
      <c r="CY213" s="28" t="str">
        <f t="shared" si="140"/>
        <v/>
      </c>
      <c r="DA213" s="28" t="str">
        <f t="shared" si="141"/>
        <v/>
      </c>
      <c r="DC213" s="28" t="str">
        <f t="shared" si="142"/>
        <v/>
      </c>
      <c r="DN213" s="32">
        <v>212</v>
      </c>
      <c r="DO213" s="34" t="s">
        <v>682</v>
      </c>
      <c r="DP213" s="38">
        <f t="shared" si="151"/>
        <v>0</v>
      </c>
      <c r="DQ213" s="173" t="str">
        <f t="shared" si="147"/>
        <v>(Heal) 0</v>
      </c>
      <c r="DR213" s="36" t="str">
        <f t="shared" si="148"/>
        <v/>
      </c>
      <c r="DV213" s="176">
        <f t="shared" si="143"/>
        <v>0</v>
      </c>
      <c r="DW213" s="243">
        <f>IF(COUNTIF('Char Sheet p1'!$AP$7:$AP$35,DQ213)=0,0,ROUNDDOWN(SUMIF('Char Sheet p1'!$AP$7:$AP$35,DQ213,'Char Sheet p1'!$AQ$7:$AQ$35)/10,0))</f>
        <v>0</v>
      </c>
      <c r="DX213" s="240">
        <f t="shared" si="149"/>
        <v>0</v>
      </c>
      <c r="DY213" s="36">
        <v>4</v>
      </c>
      <c r="DZ213" s="36" t="str">
        <f t="shared" si="144"/>
        <v/>
      </c>
      <c r="EE213" s="36">
        <f t="shared" si="152"/>
        <v>3</v>
      </c>
    </row>
    <row r="214" spans="33:135">
      <c r="AG214" s="32"/>
      <c r="AH214" s="34"/>
      <c r="AI214" s="34"/>
      <c r="AJ214" s="31"/>
      <c r="AK214" s="31"/>
      <c r="AL214" s="31" t="str">
        <f t="shared" si="138"/>
        <v/>
      </c>
      <c r="AM214" s="31"/>
      <c r="AN214" s="31">
        <f t="shared" si="150"/>
        <v>213</v>
      </c>
      <c r="AO214" s="35"/>
      <c r="AP214" s="134"/>
      <c r="AQ214" s="47"/>
      <c r="AR214" s="134"/>
      <c r="AS214" s="47"/>
      <c r="AT214" s="134"/>
      <c r="AU214" s="47"/>
      <c r="AV214" s="134"/>
      <c r="AW214" s="47"/>
      <c r="AX214" s="134"/>
      <c r="AY214" s="47"/>
      <c r="AZ214" s="134"/>
      <c r="BA214" s="47"/>
      <c r="BB214" s="134"/>
      <c r="BC214" s="47"/>
      <c r="BD214" s="134"/>
      <c r="BE214" s="47"/>
      <c r="BF214" s="134"/>
      <c r="BG214" s="47"/>
      <c r="BH214" s="134"/>
      <c r="BI214" s="47"/>
      <c r="BJ214" s="134"/>
      <c r="BK214" s="47"/>
      <c r="BL214" s="134"/>
      <c r="BM214" s="47"/>
      <c r="BN214" s="134"/>
      <c r="BO214" s="47"/>
      <c r="BP214" s="134"/>
      <c r="BQ214" s="47"/>
      <c r="BR214" s="134"/>
      <c r="BS214" s="47"/>
      <c r="BT214" s="134"/>
      <c r="BU214" s="47"/>
      <c r="BV214" s="134"/>
      <c r="BW214" s="47"/>
      <c r="BX214" s="134"/>
      <c r="BY214" s="47"/>
      <c r="BZ214" s="134"/>
      <c r="CA214" s="47"/>
      <c r="CB214" s="120"/>
      <c r="CC214" s="120"/>
      <c r="CD214" s="120"/>
      <c r="CE214" s="120"/>
      <c r="CF214" s="120"/>
      <c r="CG214" s="120"/>
      <c r="CH214" s="120"/>
      <c r="CI214" s="120"/>
      <c r="CJ214" s="120"/>
      <c r="CK214" s="179" t="str">
        <f t="shared" si="153"/>
        <v/>
      </c>
      <c r="CM214" s="36" t="str">
        <f t="shared" si="145"/>
        <v/>
      </c>
      <c r="CO214" s="36" t="str">
        <f t="shared" si="146"/>
        <v/>
      </c>
      <c r="CS214" s="28" t="str">
        <f t="shared" si="154"/>
        <v/>
      </c>
      <c r="CU214" s="28" t="str">
        <f t="shared" si="154"/>
        <v/>
      </c>
      <c r="CW214" s="28" t="str">
        <f t="shared" si="139"/>
        <v/>
      </c>
      <c r="CY214" s="28" t="str">
        <f t="shared" si="140"/>
        <v/>
      </c>
      <c r="DA214" s="28" t="str">
        <f t="shared" si="141"/>
        <v/>
      </c>
      <c r="DC214" s="28" t="str">
        <f t="shared" si="142"/>
        <v/>
      </c>
      <c r="DN214" s="32">
        <v>213</v>
      </c>
      <c r="DO214" s="34" t="s">
        <v>682</v>
      </c>
      <c r="DP214" s="38">
        <f t="shared" si="151"/>
        <v>0</v>
      </c>
      <c r="DQ214" s="173" t="str">
        <f t="shared" si="147"/>
        <v>(Heal) 0</v>
      </c>
      <c r="DR214" s="36" t="str">
        <f t="shared" si="148"/>
        <v/>
      </c>
      <c r="DV214" s="176">
        <f t="shared" si="143"/>
        <v>0</v>
      </c>
      <c r="DW214" s="243">
        <f>IF(COUNTIF('Char Sheet p1'!$AP$7:$AP$35,DQ214)=0,0,ROUNDDOWN(SUMIF('Char Sheet p1'!$AP$7:$AP$35,DQ214,'Char Sheet p1'!$AQ$7:$AQ$35)/10,0))</f>
        <v>0</v>
      </c>
      <c r="DX214" s="240">
        <f t="shared" si="149"/>
        <v>0</v>
      </c>
      <c r="DY214" s="36">
        <f>DY213+1</f>
        <v>5</v>
      </c>
      <c r="DZ214" s="36" t="str">
        <f t="shared" si="144"/>
        <v/>
      </c>
      <c r="EE214" s="36">
        <f t="shared" si="152"/>
        <v>3</v>
      </c>
    </row>
    <row r="215" spans="33:135">
      <c r="AG215" s="32"/>
      <c r="AH215" s="34"/>
      <c r="AI215" s="34"/>
      <c r="AJ215" s="31"/>
      <c r="AK215" s="31"/>
      <c r="AL215" s="31" t="str">
        <f t="shared" si="138"/>
        <v/>
      </c>
      <c r="AM215" s="31"/>
      <c r="AN215" s="31">
        <f t="shared" si="150"/>
        <v>214</v>
      </c>
      <c r="AO215" s="35"/>
      <c r="AP215" s="134"/>
      <c r="AQ215" s="47"/>
      <c r="AR215" s="134"/>
      <c r="AS215" s="47"/>
      <c r="AT215" s="134"/>
      <c r="AU215" s="47"/>
      <c r="AV215" s="134"/>
      <c r="AW215" s="47"/>
      <c r="AX215" s="134"/>
      <c r="AY215" s="47"/>
      <c r="AZ215" s="134"/>
      <c r="BA215" s="47"/>
      <c r="BB215" s="134"/>
      <c r="BC215" s="47"/>
      <c r="BD215" s="134"/>
      <c r="BE215" s="47"/>
      <c r="BF215" s="134"/>
      <c r="BG215" s="47"/>
      <c r="BH215" s="134"/>
      <c r="BI215" s="47"/>
      <c r="BJ215" s="134"/>
      <c r="BK215" s="47"/>
      <c r="BL215" s="134"/>
      <c r="BM215" s="47"/>
      <c r="BN215" s="134"/>
      <c r="BO215" s="47"/>
      <c r="BP215" s="134"/>
      <c r="BQ215" s="47"/>
      <c r="BR215" s="134"/>
      <c r="BS215" s="47"/>
      <c r="BT215" s="134"/>
      <c r="BU215" s="47"/>
      <c r="BV215" s="134"/>
      <c r="BW215" s="47"/>
      <c r="BX215" s="134"/>
      <c r="BY215" s="47"/>
      <c r="BZ215" s="134"/>
      <c r="CA215" s="47"/>
      <c r="CB215" s="120"/>
      <c r="CC215" s="120"/>
      <c r="CD215" s="120"/>
      <c r="CE215" s="120"/>
      <c r="CF215" s="120"/>
      <c r="CG215" s="120"/>
      <c r="CH215" s="120"/>
      <c r="CI215" s="120"/>
      <c r="CJ215" s="120"/>
      <c r="CK215" s="179" t="str">
        <f t="shared" si="153"/>
        <v/>
      </c>
      <c r="CM215" s="36" t="str">
        <f t="shared" si="145"/>
        <v/>
      </c>
      <c r="CO215" s="36" t="str">
        <f t="shared" si="146"/>
        <v/>
      </c>
      <c r="CS215" s="28" t="str">
        <f t="shared" si="154"/>
        <v/>
      </c>
      <c r="CU215" s="28" t="str">
        <f t="shared" si="154"/>
        <v/>
      </c>
      <c r="CW215" s="28" t="str">
        <f t="shared" si="139"/>
        <v/>
      </c>
      <c r="CY215" s="28" t="str">
        <f t="shared" si="140"/>
        <v/>
      </c>
      <c r="DA215" s="28" t="str">
        <f t="shared" si="141"/>
        <v/>
      </c>
      <c r="DC215" s="28" t="str">
        <f t="shared" si="142"/>
        <v/>
      </c>
      <c r="DN215" s="32">
        <v>214</v>
      </c>
      <c r="DO215" s="34" t="s">
        <v>682</v>
      </c>
      <c r="DP215" s="38">
        <f t="shared" si="151"/>
        <v>0</v>
      </c>
      <c r="DQ215" s="173" t="str">
        <f t="shared" si="147"/>
        <v>(Heal) 0</v>
      </c>
      <c r="DR215" s="36" t="str">
        <f t="shared" si="148"/>
        <v/>
      </c>
      <c r="DV215" s="176">
        <f t="shared" si="143"/>
        <v>0</v>
      </c>
      <c r="DW215" s="243">
        <f>IF(COUNTIF('Char Sheet p1'!$AP$7:$AP$35,DQ215)=0,0,ROUNDDOWN(SUMIF('Char Sheet p1'!$AP$7:$AP$35,DQ215,'Char Sheet p1'!$AQ$7:$AQ$35)/10,0))</f>
        <v>0</v>
      </c>
      <c r="DX215" s="240">
        <f t="shared" si="149"/>
        <v>0</v>
      </c>
      <c r="DY215" s="36">
        <f t="shared" ref="DY215:DY235" si="155">DY214+1</f>
        <v>6</v>
      </c>
      <c r="DZ215" s="36" t="str">
        <f t="shared" si="144"/>
        <v/>
      </c>
      <c r="EE215" s="36">
        <f t="shared" si="152"/>
        <v>3</v>
      </c>
    </row>
    <row r="216" spans="33:135">
      <c r="AG216" s="32"/>
      <c r="AH216" s="34"/>
      <c r="AI216" s="34"/>
      <c r="AJ216" s="31"/>
      <c r="AK216" s="31"/>
      <c r="AL216" s="31" t="str">
        <f t="shared" si="138"/>
        <v/>
      </c>
      <c r="AM216" s="31"/>
      <c r="AN216" s="31">
        <f t="shared" si="150"/>
        <v>215</v>
      </c>
      <c r="AO216" s="35"/>
      <c r="AP216" s="134"/>
      <c r="AQ216" s="47"/>
      <c r="AR216" s="134"/>
      <c r="AS216" s="47"/>
      <c r="AT216" s="134"/>
      <c r="AU216" s="47"/>
      <c r="AV216" s="134"/>
      <c r="AW216" s="47"/>
      <c r="AX216" s="134"/>
      <c r="AY216" s="47"/>
      <c r="AZ216" s="134"/>
      <c r="BA216" s="47"/>
      <c r="BB216" s="134"/>
      <c r="BC216" s="47"/>
      <c r="BD216" s="134"/>
      <c r="BE216" s="47"/>
      <c r="BF216" s="134"/>
      <c r="BG216" s="47"/>
      <c r="BH216" s="134"/>
      <c r="BI216" s="47"/>
      <c r="BJ216" s="134"/>
      <c r="BK216" s="47"/>
      <c r="BL216" s="134"/>
      <c r="BM216" s="47"/>
      <c r="BN216" s="134"/>
      <c r="BO216" s="47"/>
      <c r="BP216" s="134"/>
      <c r="BQ216" s="47"/>
      <c r="BR216" s="134"/>
      <c r="BS216" s="47"/>
      <c r="BT216" s="134"/>
      <c r="BU216" s="47"/>
      <c r="BV216" s="134"/>
      <c r="BW216" s="47"/>
      <c r="BX216" s="134"/>
      <c r="BY216" s="47"/>
      <c r="BZ216" s="134"/>
      <c r="CA216" s="47"/>
      <c r="CB216" s="120"/>
      <c r="CC216" s="120"/>
      <c r="CD216" s="120"/>
      <c r="CE216" s="120"/>
      <c r="CF216" s="120"/>
      <c r="CG216" s="120"/>
      <c r="CH216" s="120"/>
      <c r="CI216" s="120"/>
      <c r="CJ216" s="120"/>
      <c r="CK216" s="179" t="str">
        <f t="shared" si="153"/>
        <v/>
      </c>
      <c r="CM216" s="36" t="str">
        <f t="shared" si="145"/>
        <v/>
      </c>
      <c r="CO216" s="36" t="str">
        <f t="shared" si="146"/>
        <v/>
      </c>
      <c r="CS216" s="28" t="str">
        <f t="shared" si="154"/>
        <v/>
      </c>
      <c r="CU216" s="28" t="str">
        <f t="shared" si="154"/>
        <v/>
      </c>
      <c r="CW216" s="28" t="str">
        <f t="shared" si="139"/>
        <v/>
      </c>
      <c r="CY216" s="28" t="str">
        <f t="shared" si="140"/>
        <v/>
      </c>
      <c r="DA216" s="28" t="str">
        <f t="shared" si="141"/>
        <v/>
      </c>
      <c r="DC216" s="28" t="str">
        <f t="shared" si="142"/>
        <v/>
      </c>
      <c r="DN216" s="32">
        <v>215</v>
      </c>
      <c r="DO216" s="34" t="s">
        <v>682</v>
      </c>
      <c r="DP216" s="38">
        <f t="shared" si="151"/>
        <v>0</v>
      </c>
      <c r="DQ216" s="173" t="str">
        <f t="shared" si="147"/>
        <v>(Heal) 0</v>
      </c>
      <c r="DR216" s="36" t="str">
        <f t="shared" si="148"/>
        <v/>
      </c>
      <c r="DV216" s="176">
        <f t="shared" si="143"/>
        <v>0</v>
      </c>
      <c r="DW216" s="243">
        <f>IF(COUNTIF('Char Sheet p1'!$AP$7:$AP$35,DQ216)=0,0,ROUNDDOWN(SUMIF('Char Sheet p1'!$AP$7:$AP$35,DQ216,'Char Sheet p1'!$AQ$7:$AQ$35)/10,0))</f>
        <v>0</v>
      </c>
      <c r="DX216" s="240">
        <f t="shared" si="149"/>
        <v>0</v>
      </c>
      <c r="DY216" s="36">
        <f t="shared" si="155"/>
        <v>7</v>
      </c>
      <c r="DZ216" s="36" t="str">
        <f t="shared" si="144"/>
        <v/>
      </c>
      <c r="EE216" s="36">
        <f t="shared" si="152"/>
        <v>3</v>
      </c>
    </row>
    <row r="217" spans="33:135">
      <c r="AG217" s="32"/>
      <c r="AH217" s="34"/>
      <c r="AI217" s="34"/>
      <c r="AJ217" s="31"/>
      <c r="AK217" s="31"/>
      <c r="AL217" s="31" t="str">
        <f t="shared" si="138"/>
        <v/>
      </c>
      <c r="AM217" s="31"/>
      <c r="AN217" s="31">
        <f t="shared" si="150"/>
        <v>216</v>
      </c>
      <c r="AO217" s="35"/>
      <c r="AP217" s="134"/>
      <c r="AQ217" s="47"/>
      <c r="AR217" s="134"/>
      <c r="AS217" s="47"/>
      <c r="AT217" s="134"/>
      <c r="AU217" s="47"/>
      <c r="AV217" s="134"/>
      <c r="AW217" s="47"/>
      <c r="AX217" s="134"/>
      <c r="AY217" s="47"/>
      <c r="AZ217" s="134"/>
      <c r="BA217" s="47"/>
      <c r="BB217" s="134"/>
      <c r="BC217" s="47"/>
      <c r="BD217" s="134"/>
      <c r="BE217" s="47"/>
      <c r="BF217" s="134"/>
      <c r="BG217" s="47"/>
      <c r="BH217" s="134"/>
      <c r="BI217" s="47"/>
      <c r="BJ217" s="134"/>
      <c r="BK217" s="47"/>
      <c r="BL217" s="134"/>
      <c r="BM217" s="47"/>
      <c r="BN217" s="134"/>
      <c r="BO217" s="47"/>
      <c r="BP217" s="134"/>
      <c r="BQ217" s="47"/>
      <c r="BR217" s="134"/>
      <c r="BS217" s="47"/>
      <c r="BT217" s="134"/>
      <c r="BU217" s="47"/>
      <c r="BV217" s="134"/>
      <c r="BW217" s="47"/>
      <c r="BX217" s="134"/>
      <c r="BY217" s="47"/>
      <c r="BZ217" s="134"/>
      <c r="CA217" s="47"/>
      <c r="CB217" s="120"/>
      <c r="CC217" s="120"/>
      <c r="CD217" s="120"/>
      <c r="CE217" s="120"/>
      <c r="CF217" s="120"/>
      <c r="CG217" s="120"/>
      <c r="CH217" s="120"/>
      <c r="CI217" s="120"/>
      <c r="CJ217" s="120"/>
      <c r="CK217" s="179" t="str">
        <f t="shared" si="153"/>
        <v/>
      </c>
      <c r="CM217" s="36" t="str">
        <f t="shared" si="145"/>
        <v/>
      </c>
      <c r="CO217" s="36" t="str">
        <f t="shared" si="146"/>
        <v/>
      </c>
      <c r="CS217" s="28" t="str">
        <f t="shared" si="154"/>
        <v/>
      </c>
      <c r="CU217" s="28" t="str">
        <f t="shared" si="154"/>
        <v/>
      </c>
      <c r="CW217" s="28" t="str">
        <f t="shared" si="139"/>
        <v/>
      </c>
      <c r="CY217" s="28" t="str">
        <f t="shared" si="140"/>
        <v/>
      </c>
      <c r="DA217" s="28" t="str">
        <f t="shared" si="141"/>
        <v/>
      </c>
      <c r="DC217" s="28" t="str">
        <f t="shared" si="142"/>
        <v/>
      </c>
      <c r="DN217" s="32">
        <v>216</v>
      </c>
      <c r="DO217" s="34" t="s">
        <v>682</v>
      </c>
      <c r="DP217" s="38">
        <f t="shared" si="151"/>
        <v>0</v>
      </c>
      <c r="DQ217" s="173" t="str">
        <f t="shared" si="147"/>
        <v>(Heal) 0</v>
      </c>
      <c r="DR217" s="36" t="str">
        <f t="shared" si="148"/>
        <v/>
      </c>
      <c r="DV217" s="176">
        <f t="shared" si="143"/>
        <v>0</v>
      </c>
      <c r="DW217" s="243">
        <f>IF(COUNTIF('Char Sheet p1'!$AP$7:$AP$35,DQ217)=0,0,ROUNDDOWN(SUMIF('Char Sheet p1'!$AP$7:$AP$35,DQ217,'Char Sheet p1'!$AQ$7:$AQ$35)/10,0))</f>
        <v>0</v>
      </c>
      <c r="DX217" s="240">
        <f t="shared" si="149"/>
        <v>0</v>
      </c>
      <c r="DY217" s="36">
        <f t="shared" si="155"/>
        <v>8</v>
      </c>
      <c r="DZ217" s="36" t="str">
        <f t="shared" si="144"/>
        <v/>
      </c>
      <c r="EE217" s="36">
        <f t="shared" si="152"/>
        <v>3</v>
      </c>
    </row>
    <row r="218" spans="33:135">
      <c r="AG218" s="32"/>
      <c r="AH218" s="34"/>
      <c r="AI218" s="34"/>
      <c r="AJ218" s="31"/>
      <c r="AK218" s="31"/>
      <c r="AL218" s="31" t="str">
        <f t="shared" si="138"/>
        <v/>
      </c>
      <c r="AM218" s="31"/>
      <c r="AN218" s="31">
        <f t="shared" si="150"/>
        <v>217</v>
      </c>
      <c r="AO218" s="35"/>
      <c r="AP218" s="134"/>
      <c r="AQ218" s="47"/>
      <c r="AR218" s="134"/>
      <c r="AS218" s="47"/>
      <c r="AT218" s="134"/>
      <c r="AU218" s="47"/>
      <c r="AV218" s="134"/>
      <c r="AW218" s="47"/>
      <c r="AX218" s="134"/>
      <c r="AY218" s="47"/>
      <c r="AZ218" s="134"/>
      <c r="BA218" s="47"/>
      <c r="BB218" s="134"/>
      <c r="BC218" s="47"/>
      <c r="BD218" s="134"/>
      <c r="BE218" s="47"/>
      <c r="BF218" s="134"/>
      <c r="BG218" s="47"/>
      <c r="BH218" s="134"/>
      <c r="BI218" s="47"/>
      <c r="BJ218" s="134"/>
      <c r="BK218" s="47"/>
      <c r="BL218" s="134"/>
      <c r="BM218" s="47"/>
      <c r="BN218" s="134"/>
      <c r="BO218" s="47"/>
      <c r="BP218" s="134"/>
      <c r="BQ218" s="47"/>
      <c r="BR218" s="134"/>
      <c r="BS218" s="47"/>
      <c r="BT218" s="134"/>
      <c r="BU218" s="47"/>
      <c r="BV218" s="134"/>
      <c r="BW218" s="47"/>
      <c r="BX218" s="134"/>
      <c r="BY218" s="47"/>
      <c r="BZ218" s="134"/>
      <c r="CA218" s="47"/>
      <c r="CB218" s="120"/>
      <c r="CC218" s="120"/>
      <c r="CD218" s="120"/>
      <c r="CE218" s="120"/>
      <c r="CF218" s="120"/>
      <c r="CG218" s="120"/>
      <c r="CH218" s="120"/>
      <c r="CI218" s="120"/>
      <c r="CJ218" s="120"/>
      <c r="CK218" s="179" t="str">
        <f t="shared" si="153"/>
        <v/>
      </c>
      <c r="CM218" s="36" t="str">
        <f t="shared" si="145"/>
        <v/>
      </c>
      <c r="CO218" s="36" t="str">
        <f t="shared" si="146"/>
        <v/>
      </c>
      <c r="CS218" s="28" t="str">
        <f t="shared" si="154"/>
        <v/>
      </c>
      <c r="CU218" s="28" t="str">
        <f t="shared" si="154"/>
        <v/>
      </c>
      <c r="CW218" s="28" t="str">
        <f t="shared" si="139"/>
        <v/>
      </c>
      <c r="CY218" s="28" t="str">
        <f t="shared" si="140"/>
        <v/>
      </c>
      <c r="DA218" s="28" t="str">
        <f t="shared" si="141"/>
        <v/>
      </c>
      <c r="DC218" s="28" t="str">
        <f t="shared" si="142"/>
        <v/>
      </c>
      <c r="DN218" s="32">
        <v>217</v>
      </c>
      <c r="DO218" s="34" t="s">
        <v>682</v>
      </c>
      <c r="DP218" s="38">
        <f t="shared" si="151"/>
        <v>0</v>
      </c>
      <c r="DQ218" s="173" t="str">
        <f t="shared" si="147"/>
        <v>(Heal) 0</v>
      </c>
      <c r="DR218" s="36" t="str">
        <f t="shared" si="148"/>
        <v/>
      </c>
      <c r="DV218" s="176">
        <f t="shared" si="143"/>
        <v>0</v>
      </c>
      <c r="DW218" s="243">
        <f>IF(COUNTIF('Char Sheet p1'!$AP$7:$AP$35,DQ218)=0,0,ROUNDDOWN(SUMIF('Char Sheet p1'!$AP$7:$AP$35,DQ218,'Char Sheet p1'!$AQ$7:$AQ$35)/10,0))</f>
        <v>0</v>
      </c>
      <c r="DX218" s="240">
        <f t="shared" si="149"/>
        <v>0</v>
      </c>
      <c r="DY218" s="36">
        <f t="shared" si="155"/>
        <v>9</v>
      </c>
      <c r="DZ218" s="36" t="str">
        <f t="shared" si="144"/>
        <v/>
      </c>
      <c r="EE218" s="36">
        <f t="shared" si="152"/>
        <v>3</v>
      </c>
    </row>
    <row r="219" spans="33:135">
      <c r="AG219" s="32"/>
      <c r="AH219" s="34"/>
      <c r="AI219" s="34"/>
      <c r="AJ219" s="31"/>
      <c r="AK219" s="31"/>
      <c r="AL219" s="31" t="str">
        <f t="shared" si="138"/>
        <v/>
      </c>
      <c r="AM219" s="31"/>
      <c r="AN219" s="31">
        <f t="shared" si="150"/>
        <v>218</v>
      </c>
      <c r="AO219" s="35"/>
      <c r="AP219" s="134"/>
      <c r="AQ219" s="47"/>
      <c r="AR219" s="134"/>
      <c r="AS219" s="47"/>
      <c r="AT219" s="134"/>
      <c r="AU219" s="47"/>
      <c r="AV219" s="134"/>
      <c r="AW219" s="47"/>
      <c r="AX219" s="134"/>
      <c r="AY219" s="47"/>
      <c r="AZ219" s="134"/>
      <c r="BA219" s="47"/>
      <c r="BB219" s="134"/>
      <c r="BC219" s="47"/>
      <c r="BD219" s="134"/>
      <c r="BE219" s="47"/>
      <c r="BF219" s="134"/>
      <c r="BG219" s="47"/>
      <c r="BH219" s="134"/>
      <c r="BI219" s="47"/>
      <c r="BJ219" s="134"/>
      <c r="BK219" s="47"/>
      <c r="BL219" s="134"/>
      <c r="BM219" s="47"/>
      <c r="BN219" s="134"/>
      <c r="BO219" s="47"/>
      <c r="BP219" s="134"/>
      <c r="BQ219" s="47"/>
      <c r="BR219" s="134"/>
      <c r="BS219" s="47"/>
      <c r="BT219" s="134"/>
      <c r="BU219" s="47"/>
      <c r="BV219" s="134"/>
      <c r="BW219" s="47"/>
      <c r="BX219" s="134"/>
      <c r="BY219" s="47"/>
      <c r="BZ219" s="134"/>
      <c r="CA219" s="47"/>
      <c r="CB219" s="120"/>
      <c r="CC219" s="120"/>
      <c r="CD219" s="120"/>
      <c r="CE219" s="120"/>
      <c r="CF219" s="120"/>
      <c r="CG219" s="120"/>
      <c r="CH219" s="120"/>
      <c r="CI219" s="120"/>
      <c r="CJ219" s="120"/>
      <c r="CK219" s="179" t="str">
        <f t="shared" si="153"/>
        <v/>
      </c>
      <c r="CM219" s="36" t="str">
        <f t="shared" si="145"/>
        <v/>
      </c>
      <c r="CO219" s="36" t="str">
        <f t="shared" si="146"/>
        <v/>
      </c>
      <c r="CS219" s="28" t="str">
        <f t="shared" si="154"/>
        <v/>
      </c>
      <c r="CU219" s="28" t="str">
        <f t="shared" si="154"/>
        <v/>
      </c>
      <c r="CW219" s="28" t="str">
        <f t="shared" si="139"/>
        <v/>
      </c>
      <c r="CY219" s="28" t="str">
        <f t="shared" si="140"/>
        <v/>
      </c>
      <c r="DA219" s="28" t="str">
        <f t="shared" si="141"/>
        <v/>
      </c>
      <c r="DC219" s="28" t="str">
        <f t="shared" si="142"/>
        <v/>
      </c>
      <c r="DN219" s="32">
        <v>218</v>
      </c>
      <c r="DO219" s="34" t="s">
        <v>682</v>
      </c>
      <c r="DP219" s="38">
        <f t="shared" si="151"/>
        <v>0</v>
      </c>
      <c r="DQ219" s="173" t="str">
        <f t="shared" si="147"/>
        <v>(Heal) 0</v>
      </c>
      <c r="DR219" s="36" t="str">
        <f t="shared" si="148"/>
        <v/>
      </c>
      <c r="DV219" s="176">
        <f t="shared" si="143"/>
        <v>0</v>
      </c>
      <c r="DW219" s="243">
        <f>IF(COUNTIF('Char Sheet p1'!$AP$7:$AP$35,DQ219)=0,0,ROUNDDOWN(SUMIF('Char Sheet p1'!$AP$7:$AP$35,DQ219,'Char Sheet p1'!$AQ$7:$AQ$35)/10,0))</f>
        <v>0</v>
      </c>
      <c r="DX219" s="240">
        <f t="shared" si="149"/>
        <v>0</v>
      </c>
      <c r="DY219" s="36">
        <f t="shared" si="155"/>
        <v>10</v>
      </c>
      <c r="DZ219" s="36" t="str">
        <f t="shared" si="144"/>
        <v/>
      </c>
      <c r="EE219" s="36">
        <f t="shared" si="152"/>
        <v>3</v>
      </c>
    </row>
    <row r="220" spans="33:135">
      <c r="AG220" s="32"/>
      <c r="AH220" s="34"/>
      <c r="AI220" s="34"/>
      <c r="AJ220" s="31"/>
      <c r="AK220" s="31"/>
      <c r="AL220" s="31" t="str">
        <f t="shared" si="138"/>
        <v/>
      </c>
      <c r="AM220" s="31"/>
      <c r="AN220" s="31">
        <f t="shared" si="150"/>
        <v>219</v>
      </c>
      <c r="AO220" s="35"/>
      <c r="AP220" s="134"/>
      <c r="AQ220" s="47"/>
      <c r="AR220" s="134"/>
      <c r="AS220" s="47"/>
      <c r="AT220" s="134"/>
      <c r="AU220" s="47"/>
      <c r="AV220" s="134"/>
      <c r="AW220" s="47"/>
      <c r="AX220" s="134"/>
      <c r="AY220" s="47"/>
      <c r="AZ220" s="134"/>
      <c r="BA220" s="47"/>
      <c r="BB220" s="134"/>
      <c r="BC220" s="47"/>
      <c r="BD220" s="134"/>
      <c r="BE220" s="47"/>
      <c r="BF220" s="134"/>
      <c r="BG220" s="47"/>
      <c r="BH220" s="134"/>
      <c r="BI220" s="47"/>
      <c r="BJ220" s="134"/>
      <c r="BK220" s="47"/>
      <c r="BL220" s="134"/>
      <c r="BM220" s="47"/>
      <c r="BN220" s="134"/>
      <c r="BO220" s="47"/>
      <c r="BP220" s="134"/>
      <c r="BQ220" s="47"/>
      <c r="BR220" s="134"/>
      <c r="BS220" s="47"/>
      <c r="BT220" s="134"/>
      <c r="BU220" s="47"/>
      <c r="BV220" s="134"/>
      <c r="BW220" s="47"/>
      <c r="BX220" s="134"/>
      <c r="BY220" s="47"/>
      <c r="BZ220" s="134"/>
      <c r="CA220" s="47"/>
      <c r="CB220" s="120"/>
      <c r="CC220" s="120"/>
      <c r="CD220" s="120"/>
      <c r="CE220" s="120"/>
      <c r="CF220" s="120"/>
      <c r="CG220" s="120"/>
      <c r="CH220" s="120"/>
      <c r="CI220" s="120"/>
      <c r="CJ220" s="120"/>
      <c r="CK220" s="179" t="str">
        <f t="shared" si="153"/>
        <v/>
      </c>
      <c r="CM220" s="36" t="str">
        <f t="shared" si="145"/>
        <v/>
      </c>
      <c r="CO220" s="36" t="str">
        <f t="shared" si="146"/>
        <v/>
      </c>
      <c r="CS220" s="28" t="str">
        <f t="shared" si="154"/>
        <v/>
      </c>
      <c r="CU220" s="28" t="str">
        <f t="shared" si="154"/>
        <v/>
      </c>
      <c r="CW220" s="28" t="str">
        <f t="shared" si="139"/>
        <v/>
      </c>
      <c r="CY220" s="28" t="str">
        <f t="shared" si="140"/>
        <v/>
      </c>
      <c r="DA220" s="28" t="str">
        <f t="shared" si="141"/>
        <v/>
      </c>
      <c r="DC220" s="28" t="str">
        <f t="shared" si="142"/>
        <v/>
      </c>
      <c r="DN220" s="32">
        <v>219</v>
      </c>
      <c r="DO220" s="34" t="s">
        <v>682</v>
      </c>
      <c r="DP220" s="38">
        <f t="shared" si="151"/>
        <v>0</v>
      </c>
      <c r="DQ220" s="173" t="str">
        <f t="shared" si="147"/>
        <v>(Heal) 0</v>
      </c>
      <c r="DR220" s="36" t="str">
        <f t="shared" si="148"/>
        <v/>
      </c>
      <c r="DV220" s="176">
        <f t="shared" si="143"/>
        <v>0</v>
      </c>
      <c r="DW220" s="243">
        <f>IF(COUNTIF('Char Sheet p1'!$AP$7:$AP$35,DQ220)=0,0,ROUNDDOWN(SUMIF('Char Sheet p1'!$AP$7:$AP$35,DQ220,'Char Sheet p1'!$AQ$7:$AQ$35)/10,0))</f>
        <v>0</v>
      </c>
      <c r="DX220" s="240">
        <f t="shared" si="149"/>
        <v>0</v>
      </c>
      <c r="DY220" s="36">
        <f t="shared" si="155"/>
        <v>11</v>
      </c>
      <c r="DZ220" s="36" t="str">
        <f t="shared" si="144"/>
        <v/>
      </c>
      <c r="EE220" s="36">
        <f t="shared" si="152"/>
        <v>3</v>
      </c>
    </row>
    <row r="221" spans="33:135">
      <c r="AG221" s="32"/>
      <c r="AH221" s="34"/>
      <c r="AI221" s="34"/>
      <c r="AJ221" s="31"/>
      <c r="AK221" s="31"/>
      <c r="AL221" s="31" t="str">
        <f t="shared" si="138"/>
        <v/>
      </c>
      <c r="AM221" s="31"/>
      <c r="AN221" s="31">
        <f t="shared" si="150"/>
        <v>220</v>
      </c>
      <c r="AO221" s="35"/>
      <c r="AP221" s="134"/>
      <c r="AQ221" s="47"/>
      <c r="AR221" s="134"/>
      <c r="AS221" s="47"/>
      <c r="AT221" s="134"/>
      <c r="AU221" s="47"/>
      <c r="AV221" s="134"/>
      <c r="AW221" s="47"/>
      <c r="AX221" s="134"/>
      <c r="AY221" s="47"/>
      <c r="AZ221" s="134"/>
      <c r="BA221" s="47"/>
      <c r="BB221" s="134"/>
      <c r="BC221" s="47"/>
      <c r="BD221" s="134"/>
      <c r="BE221" s="47"/>
      <c r="BF221" s="134"/>
      <c r="BG221" s="47"/>
      <c r="BH221" s="134"/>
      <c r="BI221" s="47"/>
      <c r="BJ221" s="134"/>
      <c r="BK221" s="47"/>
      <c r="BL221" s="134"/>
      <c r="BM221" s="47"/>
      <c r="BN221" s="134"/>
      <c r="BO221" s="47"/>
      <c r="BP221" s="134"/>
      <c r="BQ221" s="47"/>
      <c r="BR221" s="134"/>
      <c r="BS221" s="47"/>
      <c r="BT221" s="134"/>
      <c r="BU221" s="47"/>
      <c r="BV221" s="134"/>
      <c r="BW221" s="47"/>
      <c r="BX221" s="134"/>
      <c r="BY221" s="47"/>
      <c r="BZ221" s="134"/>
      <c r="CA221" s="47"/>
      <c r="CB221" s="120"/>
      <c r="CC221" s="120"/>
      <c r="CD221" s="120"/>
      <c r="CE221" s="120"/>
      <c r="CF221" s="120"/>
      <c r="CG221" s="120"/>
      <c r="CH221" s="120"/>
      <c r="CI221" s="120"/>
      <c r="CJ221" s="120"/>
      <c r="CK221" s="179" t="str">
        <f t="shared" si="153"/>
        <v/>
      </c>
      <c r="CM221" s="36" t="str">
        <f t="shared" si="145"/>
        <v/>
      </c>
      <c r="CO221" s="36" t="str">
        <f t="shared" si="146"/>
        <v/>
      </c>
      <c r="CS221" s="28" t="str">
        <f t="shared" si="154"/>
        <v/>
      </c>
      <c r="CU221" s="28" t="str">
        <f t="shared" si="154"/>
        <v/>
      </c>
      <c r="CW221" s="28" t="str">
        <f t="shared" si="139"/>
        <v/>
      </c>
      <c r="CY221" s="28" t="str">
        <f t="shared" si="140"/>
        <v/>
      </c>
      <c r="DA221" s="28" t="str">
        <f t="shared" si="141"/>
        <v/>
      </c>
      <c r="DC221" s="28" t="str">
        <f t="shared" si="142"/>
        <v/>
      </c>
      <c r="DN221" s="32">
        <v>220</v>
      </c>
      <c r="DO221" s="34" t="s">
        <v>682</v>
      </c>
      <c r="DP221" s="38">
        <f t="shared" si="151"/>
        <v>0</v>
      </c>
      <c r="DQ221" s="173" t="str">
        <f t="shared" si="147"/>
        <v>(Heal) 0</v>
      </c>
      <c r="DR221" s="36" t="str">
        <f t="shared" si="148"/>
        <v/>
      </c>
      <c r="DV221" s="176">
        <f t="shared" si="143"/>
        <v>0</v>
      </c>
      <c r="DW221" s="243">
        <f>IF(COUNTIF('Char Sheet p1'!$AP$7:$AP$35,DQ221)=0,0,ROUNDDOWN(SUMIF('Char Sheet p1'!$AP$7:$AP$35,DQ221,'Char Sheet p1'!$AQ$7:$AQ$35)/10,0))</f>
        <v>0</v>
      </c>
      <c r="DX221" s="240">
        <f t="shared" si="149"/>
        <v>0</v>
      </c>
      <c r="DY221" s="36">
        <f t="shared" si="155"/>
        <v>12</v>
      </c>
      <c r="DZ221" s="36" t="str">
        <f t="shared" si="144"/>
        <v/>
      </c>
      <c r="EE221" s="36">
        <f t="shared" si="152"/>
        <v>3</v>
      </c>
    </row>
    <row r="222" spans="33:135">
      <c r="AG222" s="32"/>
      <c r="AH222" s="34"/>
      <c r="AI222" s="34"/>
      <c r="AJ222" s="31"/>
      <c r="AK222" s="31"/>
      <c r="AL222" s="31" t="str">
        <f t="shared" si="138"/>
        <v/>
      </c>
      <c r="AM222" s="31"/>
      <c r="AN222" s="31">
        <f t="shared" si="150"/>
        <v>221</v>
      </c>
      <c r="AO222" s="35"/>
      <c r="AP222" s="134"/>
      <c r="AQ222" s="47"/>
      <c r="AR222" s="134"/>
      <c r="AS222" s="47"/>
      <c r="AT222" s="134"/>
      <c r="AU222" s="47"/>
      <c r="AV222" s="134"/>
      <c r="AW222" s="47"/>
      <c r="AX222" s="134"/>
      <c r="AY222" s="47"/>
      <c r="AZ222" s="134"/>
      <c r="BA222" s="47"/>
      <c r="BB222" s="134"/>
      <c r="BC222" s="47"/>
      <c r="BD222" s="134"/>
      <c r="BE222" s="47"/>
      <c r="BF222" s="134"/>
      <c r="BG222" s="47"/>
      <c r="BH222" s="134"/>
      <c r="BI222" s="47"/>
      <c r="BJ222" s="134"/>
      <c r="BK222" s="47"/>
      <c r="BL222" s="134"/>
      <c r="BM222" s="47"/>
      <c r="BN222" s="134"/>
      <c r="BO222" s="47"/>
      <c r="BP222" s="134"/>
      <c r="BQ222" s="47"/>
      <c r="BR222" s="134"/>
      <c r="BS222" s="47"/>
      <c r="BT222" s="134"/>
      <c r="BU222" s="47"/>
      <c r="BV222" s="134"/>
      <c r="BW222" s="47"/>
      <c r="BX222" s="134"/>
      <c r="BY222" s="47"/>
      <c r="BZ222" s="134"/>
      <c r="CA222" s="47"/>
      <c r="CB222" s="120"/>
      <c r="CC222" s="120"/>
      <c r="CD222" s="120"/>
      <c r="CE222" s="120"/>
      <c r="CF222" s="120"/>
      <c r="CG222" s="120"/>
      <c r="CH222" s="120"/>
      <c r="CI222" s="120"/>
      <c r="CJ222" s="120"/>
      <c r="CK222" s="179" t="str">
        <f t="shared" si="153"/>
        <v/>
      </c>
      <c r="CM222" s="36" t="str">
        <f t="shared" si="145"/>
        <v/>
      </c>
      <c r="CO222" s="36" t="str">
        <f t="shared" si="146"/>
        <v/>
      </c>
      <c r="CS222" s="28" t="str">
        <f t="shared" si="154"/>
        <v/>
      </c>
      <c r="CU222" s="28" t="str">
        <f t="shared" si="154"/>
        <v/>
      </c>
      <c r="CW222" s="28" t="str">
        <f t="shared" si="139"/>
        <v/>
      </c>
      <c r="CY222" s="28" t="str">
        <f t="shared" si="140"/>
        <v/>
      </c>
      <c r="DA222" s="28" t="str">
        <f t="shared" si="141"/>
        <v/>
      </c>
      <c r="DC222" s="28" t="str">
        <f t="shared" si="142"/>
        <v/>
      </c>
      <c r="DN222" s="32">
        <v>221</v>
      </c>
      <c r="DO222" s="34" t="s">
        <v>682</v>
      </c>
      <c r="DP222" s="38">
        <f t="shared" si="151"/>
        <v>0</v>
      </c>
      <c r="DQ222" s="173" t="str">
        <f t="shared" si="147"/>
        <v>(Heal) 0</v>
      </c>
      <c r="DR222" s="36" t="str">
        <f t="shared" si="148"/>
        <v/>
      </c>
      <c r="DV222" s="176">
        <f t="shared" si="143"/>
        <v>0</v>
      </c>
      <c r="DW222" s="243">
        <f>IF(COUNTIF('Char Sheet p1'!$AP$7:$AP$35,DQ222)=0,0,ROUNDDOWN(SUMIF('Char Sheet p1'!$AP$7:$AP$35,DQ222,'Char Sheet p1'!$AQ$7:$AQ$35)/10,0))</f>
        <v>0</v>
      </c>
      <c r="DX222" s="240">
        <f t="shared" si="149"/>
        <v>0</v>
      </c>
      <c r="DY222" s="36">
        <f t="shared" si="155"/>
        <v>13</v>
      </c>
      <c r="DZ222" s="36" t="str">
        <f t="shared" si="144"/>
        <v/>
      </c>
      <c r="EE222" s="36">
        <f t="shared" si="152"/>
        <v>3</v>
      </c>
    </row>
    <row r="223" spans="33:135">
      <c r="AG223" s="32"/>
      <c r="AH223" s="34"/>
      <c r="AI223" s="34"/>
      <c r="AJ223" s="31"/>
      <c r="AK223" s="31"/>
      <c r="AL223" s="31" t="str">
        <f t="shared" si="138"/>
        <v/>
      </c>
      <c r="AM223" s="31"/>
      <c r="AN223" s="31">
        <f t="shared" si="150"/>
        <v>222</v>
      </c>
      <c r="AO223" s="35"/>
      <c r="AP223" s="134"/>
      <c r="AQ223" s="47"/>
      <c r="AR223" s="134"/>
      <c r="AS223" s="47"/>
      <c r="AT223" s="134"/>
      <c r="AU223" s="47"/>
      <c r="AV223" s="134"/>
      <c r="AW223" s="47"/>
      <c r="AX223" s="134"/>
      <c r="AY223" s="47"/>
      <c r="AZ223" s="134"/>
      <c r="BA223" s="47"/>
      <c r="BB223" s="134"/>
      <c r="BC223" s="47"/>
      <c r="BD223" s="134"/>
      <c r="BE223" s="47"/>
      <c r="BF223" s="134"/>
      <c r="BG223" s="47"/>
      <c r="BH223" s="134"/>
      <c r="BI223" s="47"/>
      <c r="BJ223" s="134"/>
      <c r="BK223" s="47"/>
      <c r="BL223" s="134"/>
      <c r="BM223" s="47"/>
      <c r="BN223" s="134"/>
      <c r="BO223" s="47"/>
      <c r="BP223" s="134"/>
      <c r="BQ223" s="47"/>
      <c r="BR223" s="134"/>
      <c r="BS223" s="47"/>
      <c r="BT223" s="134"/>
      <c r="BU223" s="47"/>
      <c r="BV223" s="134"/>
      <c r="BW223" s="47"/>
      <c r="BX223" s="134"/>
      <c r="BY223" s="47"/>
      <c r="BZ223" s="134"/>
      <c r="CA223" s="47"/>
      <c r="CB223" s="120"/>
      <c r="CC223" s="120"/>
      <c r="CD223" s="120"/>
      <c r="CE223" s="120"/>
      <c r="CF223" s="120"/>
      <c r="CG223" s="120"/>
      <c r="CH223" s="120"/>
      <c r="CI223" s="120"/>
      <c r="CJ223" s="120"/>
      <c r="CK223" s="179" t="str">
        <f t="shared" si="153"/>
        <v/>
      </c>
      <c r="CM223" s="36" t="str">
        <f t="shared" si="145"/>
        <v/>
      </c>
      <c r="CO223" s="36" t="str">
        <f t="shared" si="146"/>
        <v/>
      </c>
      <c r="CS223" s="28" t="str">
        <f t="shared" si="154"/>
        <v/>
      </c>
      <c r="CU223" s="28" t="str">
        <f t="shared" si="154"/>
        <v/>
      </c>
      <c r="CW223" s="28" t="str">
        <f t="shared" si="139"/>
        <v/>
      </c>
      <c r="CY223" s="28" t="str">
        <f t="shared" si="140"/>
        <v/>
      </c>
      <c r="DA223" s="28" t="str">
        <f t="shared" si="141"/>
        <v/>
      </c>
      <c r="DC223" s="28" t="str">
        <f t="shared" si="142"/>
        <v/>
      </c>
      <c r="DN223" s="32">
        <v>222</v>
      </c>
      <c r="DO223" s="34" t="s">
        <v>682</v>
      </c>
      <c r="DP223" s="38">
        <f t="shared" si="151"/>
        <v>0</v>
      </c>
      <c r="DQ223" s="173" t="str">
        <f t="shared" si="147"/>
        <v>(Heal) 0</v>
      </c>
      <c r="DR223" s="36" t="str">
        <f t="shared" si="148"/>
        <v/>
      </c>
      <c r="DV223" s="176">
        <f t="shared" si="143"/>
        <v>0</v>
      </c>
      <c r="DW223" s="243">
        <f>IF(COUNTIF('Char Sheet p1'!$AP$7:$AP$35,DQ223)=0,0,ROUNDDOWN(SUMIF('Char Sheet p1'!$AP$7:$AP$35,DQ223,'Char Sheet p1'!$AQ$7:$AQ$35)/10,0))</f>
        <v>0</v>
      </c>
      <c r="DX223" s="240">
        <f t="shared" si="149"/>
        <v>0</v>
      </c>
      <c r="DY223" s="36">
        <f t="shared" si="155"/>
        <v>14</v>
      </c>
      <c r="DZ223" s="36" t="str">
        <f t="shared" si="144"/>
        <v/>
      </c>
      <c r="EE223" s="36">
        <f t="shared" si="152"/>
        <v>3</v>
      </c>
    </row>
    <row r="224" spans="33:135">
      <c r="AG224" s="32"/>
      <c r="AH224" s="34"/>
      <c r="AI224" s="34"/>
      <c r="AJ224" s="31"/>
      <c r="AK224" s="31"/>
      <c r="AL224" s="31" t="str">
        <f t="shared" si="138"/>
        <v/>
      </c>
      <c r="AM224" s="31"/>
      <c r="AN224" s="31">
        <f t="shared" si="150"/>
        <v>223</v>
      </c>
      <c r="AO224" s="35"/>
      <c r="AP224" s="134"/>
      <c r="AQ224" s="47"/>
      <c r="AR224" s="134"/>
      <c r="AS224" s="47"/>
      <c r="AT224" s="134"/>
      <c r="AU224" s="47"/>
      <c r="AV224" s="134"/>
      <c r="AW224" s="47"/>
      <c r="AX224" s="134"/>
      <c r="AY224" s="47"/>
      <c r="AZ224" s="134"/>
      <c r="BA224" s="47"/>
      <c r="BB224" s="134"/>
      <c r="BC224" s="47"/>
      <c r="BD224" s="134"/>
      <c r="BE224" s="47"/>
      <c r="BF224" s="134"/>
      <c r="BG224" s="47"/>
      <c r="BH224" s="134"/>
      <c r="BI224" s="47"/>
      <c r="BJ224" s="134"/>
      <c r="BK224" s="47"/>
      <c r="BL224" s="134"/>
      <c r="BM224" s="47"/>
      <c r="BN224" s="134"/>
      <c r="BO224" s="47"/>
      <c r="BP224" s="134"/>
      <c r="BQ224" s="47"/>
      <c r="BR224" s="134"/>
      <c r="BS224" s="47"/>
      <c r="BT224" s="134"/>
      <c r="BU224" s="47"/>
      <c r="BV224" s="134"/>
      <c r="BW224" s="47"/>
      <c r="BX224" s="134"/>
      <c r="BY224" s="47"/>
      <c r="BZ224" s="134"/>
      <c r="CA224" s="47"/>
      <c r="CB224" s="120"/>
      <c r="CC224" s="120"/>
      <c r="CD224" s="120"/>
      <c r="CE224" s="120"/>
      <c r="CF224" s="120"/>
      <c r="CG224" s="120"/>
      <c r="CH224" s="120"/>
      <c r="CI224" s="120"/>
      <c r="CJ224" s="120"/>
      <c r="CK224" s="179" t="str">
        <f t="shared" si="153"/>
        <v/>
      </c>
      <c r="CM224" s="36" t="str">
        <f t="shared" si="145"/>
        <v/>
      </c>
      <c r="CO224" s="36" t="str">
        <f t="shared" si="146"/>
        <v/>
      </c>
      <c r="CS224" s="28" t="str">
        <f t="shared" si="154"/>
        <v/>
      </c>
      <c r="CU224" s="28" t="str">
        <f t="shared" si="154"/>
        <v/>
      </c>
      <c r="CW224" s="28" t="str">
        <f t="shared" si="139"/>
        <v/>
      </c>
      <c r="CY224" s="28" t="str">
        <f t="shared" si="140"/>
        <v/>
      </c>
      <c r="DA224" s="28" t="str">
        <f t="shared" si="141"/>
        <v/>
      </c>
      <c r="DC224" s="28" t="str">
        <f t="shared" si="142"/>
        <v/>
      </c>
      <c r="DN224" s="32">
        <v>223</v>
      </c>
      <c r="DO224" s="34" t="s">
        <v>682</v>
      </c>
      <c r="DP224" s="38">
        <f t="shared" si="151"/>
        <v>0</v>
      </c>
      <c r="DQ224" s="173" t="str">
        <f t="shared" si="147"/>
        <v>(Heal) 0</v>
      </c>
      <c r="DR224" s="36" t="str">
        <f t="shared" si="148"/>
        <v/>
      </c>
      <c r="DV224" s="176">
        <f t="shared" si="143"/>
        <v>0</v>
      </c>
      <c r="DW224" s="243">
        <f>IF(COUNTIF('Char Sheet p1'!$AP$7:$AP$35,DQ224)=0,0,ROUNDDOWN(SUMIF('Char Sheet p1'!$AP$7:$AP$35,DQ224,'Char Sheet p1'!$AQ$7:$AQ$35)/10,0))</f>
        <v>0</v>
      </c>
      <c r="DX224" s="240">
        <f t="shared" si="149"/>
        <v>0</v>
      </c>
      <c r="DY224" s="36">
        <f t="shared" si="155"/>
        <v>15</v>
      </c>
      <c r="DZ224" s="36" t="str">
        <f t="shared" si="144"/>
        <v/>
      </c>
      <c r="EE224" s="36">
        <f t="shared" si="152"/>
        <v>3</v>
      </c>
    </row>
    <row r="225" spans="1:13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AE225" s="25"/>
      <c r="AF225" s="25"/>
      <c r="AG225" s="32"/>
      <c r="AH225" s="34"/>
      <c r="AI225" s="34"/>
      <c r="AJ225" s="31"/>
      <c r="AK225" s="31"/>
      <c r="AL225" s="31" t="str">
        <f t="shared" si="138"/>
        <v/>
      </c>
      <c r="AM225" s="31"/>
      <c r="AN225" s="31">
        <f t="shared" si="150"/>
        <v>224</v>
      </c>
      <c r="AO225" s="35"/>
      <c r="AP225" s="134"/>
      <c r="AQ225" s="47"/>
      <c r="AR225" s="134"/>
      <c r="AS225" s="47"/>
      <c r="AT225" s="134"/>
      <c r="AU225" s="47"/>
      <c r="AV225" s="134"/>
      <c r="AW225" s="47"/>
      <c r="AX225" s="134"/>
      <c r="AY225" s="47"/>
      <c r="AZ225" s="134"/>
      <c r="BA225" s="47"/>
      <c r="BB225" s="134"/>
      <c r="BC225" s="47"/>
      <c r="BD225" s="134"/>
      <c r="BE225" s="47"/>
      <c r="BF225" s="134"/>
      <c r="BG225" s="47"/>
      <c r="BH225" s="134"/>
      <c r="BI225" s="47"/>
      <c r="BJ225" s="134"/>
      <c r="BK225" s="47"/>
      <c r="BL225" s="134"/>
      <c r="BM225" s="47"/>
      <c r="BN225" s="134"/>
      <c r="BO225" s="47"/>
      <c r="BP225" s="134"/>
      <c r="BQ225" s="47"/>
      <c r="BR225" s="134"/>
      <c r="BS225" s="47"/>
      <c r="BT225" s="134"/>
      <c r="BU225" s="47"/>
      <c r="BV225" s="134"/>
      <c r="BW225" s="47"/>
      <c r="BX225" s="134"/>
      <c r="BY225" s="47"/>
      <c r="BZ225" s="134"/>
      <c r="CA225" s="47"/>
      <c r="CB225" s="120"/>
      <c r="CC225" s="120"/>
      <c r="CD225" s="120"/>
      <c r="CE225" s="120"/>
      <c r="CF225" s="120"/>
      <c r="CG225" s="120"/>
      <c r="CH225" s="120"/>
      <c r="CI225" s="120"/>
      <c r="CJ225" s="120"/>
      <c r="CK225" s="179" t="str">
        <f t="shared" si="153"/>
        <v/>
      </c>
      <c r="CM225" s="36" t="str">
        <f t="shared" si="145"/>
        <v/>
      </c>
      <c r="CO225" s="36" t="str">
        <f t="shared" si="146"/>
        <v/>
      </c>
      <c r="CS225" s="28" t="str">
        <f t="shared" si="154"/>
        <v/>
      </c>
      <c r="CU225" s="28" t="str">
        <f t="shared" si="154"/>
        <v/>
      </c>
      <c r="CW225" s="28" t="str">
        <f t="shared" si="139"/>
        <v/>
      </c>
      <c r="CY225" s="28" t="str">
        <f t="shared" si="140"/>
        <v/>
      </c>
      <c r="DA225" s="28" t="str">
        <f t="shared" si="141"/>
        <v/>
      </c>
      <c r="DC225" s="28" t="str">
        <f t="shared" si="142"/>
        <v/>
      </c>
      <c r="DN225" s="32">
        <v>224</v>
      </c>
      <c r="DO225" s="34" t="s">
        <v>682</v>
      </c>
      <c r="DP225" s="38">
        <f t="shared" si="151"/>
        <v>0</v>
      </c>
      <c r="DQ225" s="173" t="str">
        <f t="shared" si="147"/>
        <v>(Heal) 0</v>
      </c>
      <c r="DR225" s="36" t="str">
        <f t="shared" si="148"/>
        <v/>
      </c>
      <c r="DV225" s="176">
        <f t="shared" si="143"/>
        <v>0</v>
      </c>
      <c r="DW225" s="243">
        <f>IF(COUNTIF('Char Sheet p1'!$AP$7:$AP$35,DQ225)=0,0,ROUNDDOWN(SUMIF('Char Sheet p1'!$AP$7:$AP$35,DQ225,'Char Sheet p1'!$AQ$7:$AQ$35)/10,0))</f>
        <v>0</v>
      </c>
      <c r="DX225" s="240">
        <f t="shared" si="149"/>
        <v>0</v>
      </c>
      <c r="DY225" s="36">
        <f t="shared" si="155"/>
        <v>16</v>
      </c>
      <c r="DZ225" s="36" t="str">
        <f t="shared" si="144"/>
        <v/>
      </c>
      <c r="EE225" s="36">
        <f t="shared" si="152"/>
        <v>3</v>
      </c>
    </row>
    <row r="226" spans="1:135">
      <c r="AG226" s="41"/>
      <c r="AH226" s="53"/>
      <c r="AI226" s="53"/>
      <c r="AJ226" s="40"/>
      <c r="AK226" s="40"/>
      <c r="AL226" s="40" t="str">
        <f t="shared" si="138"/>
        <v/>
      </c>
      <c r="AM226" s="40"/>
      <c r="AN226" s="40">
        <f t="shared" si="150"/>
        <v>225</v>
      </c>
      <c r="AO226" s="54"/>
      <c r="AP226" s="135"/>
      <c r="AQ226" s="136"/>
      <c r="AR226" s="135"/>
      <c r="AS226" s="136"/>
      <c r="AT226" s="135"/>
      <c r="AU226" s="136"/>
      <c r="AV226" s="135"/>
      <c r="AW226" s="136"/>
      <c r="AX226" s="135"/>
      <c r="AY226" s="136"/>
      <c r="AZ226" s="135"/>
      <c r="BA226" s="136"/>
      <c r="BB226" s="135"/>
      <c r="BC226" s="136"/>
      <c r="BD226" s="135"/>
      <c r="BE226" s="136"/>
      <c r="BF226" s="135"/>
      <c r="BG226" s="136"/>
      <c r="BH226" s="135"/>
      <c r="BI226" s="136"/>
      <c r="BJ226" s="135"/>
      <c r="BK226" s="136"/>
      <c r="BL226" s="135"/>
      <c r="BM226" s="136"/>
      <c r="BN226" s="135"/>
      <c r="BO226" s="136"/>
      <c r="BP226" s="135"/>
      <c r="BQ226" s="136"/>
      <c r="BR226" s="135"/>
      <c r="BS226" s="136"/>
      <c r="BT226" s="135"/>
      <c r="BU226" s="136"/>
      <c r="BV226" s="135"/>
      <c r="BW226" s="136"/>
      <c r="BX226" s="135"/>
      <c r="BY226" s="136"/>
      <c r="BZ226" s="135"/>
      <c r="CA226" s="136"/>
      <c r="CB226" s="125"/>
      <c r="CC226" s="125"/>
      <c r="CD226" s="125"/>
      <c r="CE226" s="125"/>
      <c r="CF226" s="125"/>
      <c r="CG226" s="125"/>
      <c r="CH226" s="125"/>
      <c r="CI226" s="125"/>
      <c r="CJ226" s="125"/>
      <c r="CK226" s="180" t="str">
        <f t="shared" si="153"/>
        <v/>
      </c>
      <c r="CM226" s="55" t="str">
        <f t="shared" si="145"/>
        <v/>
      </c>
      <c r="CO226" s="55" t="str">
        <f t="shared" si="146"/>
        <v/>
      </c>
      <c r="CS226" s="30" t="str">
        <f t="shared" si="154"/>
        <v/>
      </c>
      <c r="CU226" s="30" t="str">
        <f t="shared" si="154"/>
        <v/>
      </c>
      <c r="CW226" s="30" t="str">
        <f t="shared" si="139"/>
        <v/>
      </c>
      <c r="CY226" s="30" t="str">
        <f t="shared" si="140"/>
        <v/>
      </c>
      <c r="DA226" s="30" t="str">
        <f t="shared" si="141"/>
        <v/>
      </c>
      <c r="DC226" s="30" t="str">
        <f t="shared" si="142"/>
        <v/>
      </c>
      <c r="DN226" s="32">
        <v>225</v>
      </c>
      <c r="DO226" s="34" t="s">
        <v>682</v>
      </c>
      <c r="DP226" s="38">
        <f t="shared" si="151"/>
        <v>0</v>
      </c>
      <c r="DQ226" s="173" t="str">
        <f t="shared" si="147"/>
        <v>(Heal) 0</v>
      </c>
      <c r="DR226" s="36" t="str">
        <f t="shared" si="148"/>
        <v/>
      </c>
      <c r="DV226" s="176">
        <f t="shared" si="143"/>
        <v>0</v>
      </c>
      <c r="DW226" s="243">
        <f>IF(COUNTIF('Char Sheet p1'!$AP$7:$AP$35,DQ226)=0,0,ROUNDDOWN(SUMIF('Char Sheet p1'!$AP$7:$AP$35,DQ226,'Char Sheet p1'!$AQ$7:$AQ$35)/10,0))</f>
        <v>0</v>
      </c>
      <c r="DX226" s="240">
        <f t="shared" si="149"/>
        <v>0</v>
      </c>
      <c r="DY226" s="36">
        <f t="shared" si="155"/>
        <v>17</v>
      </c>
      <c r="DZ226" s="36" t="str">
        <f t="shared" si="144"/>
        <v/>
      </c>
      <c r="EE226" s="36">
        <f t="shared" si="152"/>
        <v>3</v>
      </c>
    </row>
    <row r="227" spans="1:135" s="25" customForma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5"/>
      <c r="Y227" s="5"/>
      <c r="Z227" s="5"/>
      <c r="AA227" s="5"/>
      <c r="AB227" s="5"/>
      <c r="AC227" s="5"/>
      <c r="AD227" s="5"/>
      <c r="AE227" s="16"/>
      <c r="AJ227" s="87"/>
      <c r="AK227" s="87"/>
      <c r="AL227" s="87"/>
      <c r="AM227" s="87"/>
      <c r="AN227" s="87"/>
      <c r="AP227" s="146">
        <v>10</v>
      </c>
      <c r="AQ227" s="147">
        <f>AP227+1</f>
        <v>11</v>
      </c>
      <c r="AR227" s="146">
        <f t="shared" ref="AR227:CJ227" si="156">AQ227+1</f>
        <v>12</v>
      </c>
      <c r="AS227" s="147">
        <f t="shared" si="156"/>
        <v>13</v>
      </c>
      <c r="AT227" s="146">
        <f t="shared" si="156"/>
        <v>14</v>
      </c>
      <c r="AU227" s="147">
        <f t="shared" si="156"/>
        <v>15</v>
      </c>
      <c r="AV227" s="146">
        <f t="shared" si="156"/>
        <v>16</v>
      </c>
      <c r="AW227" s="147">
        <f t="shared" si="156"/>
        <v>17</v>
      </c>
      <c r="AX227" s="146">
        <f t="shared" si="156"/>
        <v>18</v>
      </c>
      <c r="AY227" s="147">
        <f t="shared" si="156"/>
        <v>19</v>
      </c>
      <c r="AZ227" s="146">
        <f t="shared" si="156"/>
        <v>20</v>
      </c>
      <c r="BA227" s="147">
        <f t="shared" si="156"/>
        <v>21</v>
      </c>
      <c r="BB227" s="146">
        <f t="shared" si="156"/>
        <v>22</v>
      </c>
      <c r="BC227" s="147">
        <f t="shared" si="156"/>
        <v>23</v>
      </c>
      <c r="BD227" s="146">
        <f t="shared" si="156"/>
        <v>24</v>
      </c>
      <c r="BE227" s="147">
        <f t="shared" si="156"/>
        <v>25</v>
      </c>
      <c r="BF227" s="146">
        <f t="shared" si="156"/>
        <v>26</v>
      </c>
      <c r="BG227" s="147">
        <f t="shared" si="156"/>
        <v>27</v>
      </c>
      <c r="BH227" s="146">
        <f t="shared" si="156"/>
        <v>28</v>
      </c>
      <c r="BI227" s="147">
        <f t="shared" si="156"/>
        <v>29</v>
      </c>
      <c r="BJ227" s="146">
        <f t="shared" si="156"/>
        <v>30</v>
      </c>
      <c r="BK227" s="147">
        <f t="shared" si="156"/>
        <v>31</v>
      </c>
      <c r="BL227" s="146">
        <f t="shared" si="156"/>
        <v>32</v>
      </c>
      <c r="BM227" s="147">
        <f t="shared" si="156"/>
        <v>33</v>
      </c>
      <c r="BN227" s="146">
        <f t="shared" si="156"/>
        <v>34</v>
      </c>
      <c r="BO227" s="147">
        <f t="shared" si="156"/>
        <v>35</v>
      </c>
      <c r="BP227" s="146">
        <f t="shared" si="156"/>
        <v>36</v>
      </c>
      <c r="BQ227" s="147">
        <f t="shared" si="156"/>
        <v>37</v>
      </c>
      <c r="BR227" s="146">
        <f t="shared" si="156"/>
        <v>38</v>
      </c>
      <c r="BS227" s="147">
        <f t="shared" si="156"/>
        <v>39</v>
      </c>
      <c r="BT227" s="146">
        <f t="shared" si="156"/>
        <v>40</v>
      </c>
      <c r="BU227" s="147">
        <f t="shared" si="156"/>
        <v>41</v>
      </c>
      <c r="BV227" s="146">
        <f t="shared" si="156"/>
        <v>42</v>
      </c>
      <c r="BW227" s="147">
        <f t="shared" si="156"/>
        <v>43</v>
      </c>
      <c r="BX227" s="146">
        <f t="shared" si="156"/>
        <v>44</v>
      </c>
      <c r="BY227" s="147">
        <f t="shared" si="156"/>
        <v>45</v>
      </c>
      <c r="BZ227" s="146">
        <f t="shared" si="156"/>
        <v>46</v>
      </c>
      <c r="CA227" s="147">
        <f t="shared" si="156"/>
        <v>47</v>
      </c>
      <c r="CB227" s="148">
        <f t="shared" si="156"/>
        <v>48</v>
      </c>
      <c r="CC227" s="148">
        <f t="shared" si="156"/>
        <v>49</v>
      </c>
      <c r="CD227" s="148">
        <f t="shared" si="156"/>
        <v>50</v>
      </c>
      <c r="CE227" s="148">
        <f t="shared" si="156"/>
        <v>51</v>
      </c>
      <c r="CF227" s="148">
        <f t="shared" si="156"/>
        <v>52</v>
      </c>
      <c r="CG227" s="148">
        <f t="shared" si="156"/>
        <v>53</v>
      </c>
      <c r="CH227" s="148">
        <f t="shared" si="156"/>
        <v>54</v>
      </c>
      <c r="CI227" s="148">
        <f t="shared" si="156"/>
        <v>55</v>
      </c>
      <c r="CJ227" s="147">
        <f t="shared" si="156"/>
        <v>56</v>
      </c>
      <c r="CK227" s="87" t="s">
        <v>261</v>
      </c>
      <c r="CM227" s="87"/>
      <c r="CO227" s="87"/>
      <c r="DG227" s="87"/>
      <c r="DN227" s="32">
        <v>226</v>
      </c>
      <c r="DO227" s="34" t="s">
        <v>682</v>
      </c>
      <c r="DP227" s="38">
        <f t="shared" si="151"/>
        <v>0</v>
      </c>
      <c r="DQ227" s="173" t="str">
        <f t="shared" si="147"/>
        <v>(Heal) 0</v>
      </c>
      <c r="DR227" s="36" t="str">
        <f t="shared" si="148"/>
        <v/>
      </c>
      <c r="DV227" s="176">
        <f t="shared" si="143"/>
        <v>0</v>
      </c>
      <c r="DW227" s="243">
        <f>IF(COUNTIF('Char Sheet p1'!$AP$7:$AP$35,DQ227)=0,0,ROUNDDOWN(SUMIF('Char Sheet p1'!$AP$7:$AP$35,DQ227,'Char Sheet p1'!$AQ$7:$AQ$35)/10,0))</f>
        <v>0</v>
      </c>
      <c r="DX227" s="240">
        <f t="shared" si="149"/>
        <v>0</v>
      </c>
      <c r="DY227" s="36">
        <f t="shared" si="155"/>
        <v>18</v>
      </c>
      <c r="DZ227" s="36" t="str">
        <f t="shared" si="144"/>
        <v/>
      </c>
      <c r="EA227"/>
      <c r="EB227"/>
      <c r="EC227"/>
      <c r="ED227"/>
      <c r="EE227" s="36">
        <f t="shared" si="152"/>
        <v>3</v>
      </c>
    </row>
    <row r="228" spans="1:135" s="25" customForma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5"/>
      <c r="Y228" s="5"/>
      <c r="Z228" s="5"/>
      <c r="AA228" s="5"/>
      <c r="AB228" s="5"/>
      <c r="AC228" s="5"/>
      <c r="AD228" s="5"/>
      <c r="AE228" s="16"/>
      <c r="AJ228" s="87"/>
      <c r="AK228" s="87"/>
      <c r="AL228" s="87"/>
      <c r="AM228" s="87"/>
      <c r="AN228" s="87"/>
      <c r="AO228" s="89" t="str">
        <f>CharGen!D38</f>
        <v>Acrobatic Defence</v>
      </c>
      <c r="AP228" s="150">
        <f t="shared" ref="AP228:AP233" si="157">IF($AO228=0,0,VLOOKUP($AO228,$AG$2:$CJ$226,AP$227,FALSE))</f>
        <v>0</v>
      </c>
      <c r="AQ228" s="151">
        <f t="shared" ref="AQ228:BF233" si="158">IF($AO228=0,0,VLOOKUP($AO228,$AG$2:$CJ$226,AQ$227,FALSE))</f>
        <v>0</v>
      </c>
      <c r="AR228" s="150">
        <f t="shared" si="158"/>
        <v>0</v>
      </c>
      <c r="AS228" s="151">
        <f t="shared" si="158"/>
        <v>0</v>
      </c>
      <c r="AT228" s="150">
        <f t="shared" si="158"/>
        <v>0</v>
      </c>
      <c r="AU228" s="151">
        <f t="shared" si="158"/>
        <v>0</v>
      </c>
      <c r="AV228" s="150">
        <f t="shared" si="158"/>
        <v>0</v>
      </c>
      <c r="AW228" s="151">
        <f t="shared" si="158"/>
        <v>0</v>
      </c>
      <c r="AX228" s="150">
        <f t="shared" si="158"/>
        <v>0</v>
      </c>
      <c r="AY228" s="151">
        <f t="shared" si="158"/>
        <v>0</v>
      </c>
      <c r="AZ228" s="150">
        <f t="shared" si="158"/>
        <v>0</v>
      </c>
      <c r="BA228" s="151">
        <f t="shared" si="158"/>
        <v>0</v>
      </c>
      <c r="BB228" s="150">
        <f t="shared" si="158"/>
        <v>0</v>
      </c>
      <c r="BC228" s="151">
        <f t="shared" si="158"/>
        <v>0</v>
      </c>
      <c r="BD228" s="150">
        <f t="shared" si="158"/>
        <v>0</v>
      </c>
      <c r="BE228" s="151">
        <f t="shared" si="158"/>
        <v>0</v>
      </c>
      <c r="BF228" s="150">
        <f t="shared" si="158"/>
        <v>0</v>
      </c>
      <c r="BG228" s="151">
        <f t="shared" ref="BG228:BV233" si="159">IF($AO228=0,0,VLOOKUP($AO228,$AG$2:$CJ$226,BG$227,FALSE))</f>
        <v>0</v>
      </c>
      <c r="BH228" s="150">
        <f t="shared" si="159"/>
        <v>0</v>
      </c>
      <c r="BI228" s="151">
        <f t="shared" si="159"/>
        <v>0</v>
      </c>
      <c r="BJ228" s="150">
        <f t="shared" si="159"/>
        <v>0</v>
      </c>
      <c r="BK228" s="151">
        <f t="shared" si="159"/>
        <v>0</v>
      </c>
      <c r="BL228" s="150">
        <f t="shared" si="159"/>
        <v>0</v>
      </c>
      <c r="BM228" s="151">
        <f t="shared" si="159"/>
        <v>0</v>
      </c>
      <c r="BN228" s="150">
        <f t="shared" si="159"/>
        <v>0</v>
      </c>
      <c r="BO228" s="151">
        <f t="shared" si="159"/>
        <v>0</v>
      </c>
      <c r="BP228" s="150">
        <f t="shared" si="159"/>
        <v>0</v>
      </c>
      <c r="BQ228" s="151">
        <f t="shared" si="159"/>
        <v>0</v>
      </c>
      <c r="BR228" s="150">
        <f t="shared" si="159"/>
        <v>0</v>
      </c>
      <c r="BS228" s="151">
        <f t="shared" si="159"/>
        <v>0</v>
      </c>
      <c r="BT228" s="150">
        <f t="shared" si="159"/>
        <v>0</v>
      </c>
      <c r="BU228" s="151">
        <f t="shared" si="159"/>
        <v>0</v>
      </c>
      <c r="BV228" s="150">
        <f t="shared" si="159"/>
        <v>0</v>
      </c>
      <c r="BW228" s="151">
        <f t="shared" ref="BW228:CJ233" si="160">IF($AO228=0,0,VLOOKUP($AO228,$AG$2:$CJ$226,BW$227,FALSE))</f>
        <v>0</v>
      </c>
      <c r="BX228" s="150">
        <f t="shared" si="160"/>
        <v>0</v>
      </c>
      <c r="BY228" s="151">
        <f t="shared" si="160"/>
        <v>0</v>
      </c>
      <c r="BZ228" s="150">
        <f t="shared" si="160"/>
        <v>0</v>
      </c>
      <c r="CA228" s="151">
        <f t="shared" si="160"/>
        <v>0</v>
      </c>
      <c r="CB228" s="152">
        <f t="shared" si="160"/>
        <v>0</v>
      </c>
      <c r="CC228" s="152">
        <f t="shared" si="160"/>
        <v>0</v>
      </c>
      <c r="CD228" s="152">
        <f t="shared" si="160"/>
        <v>0</v>
      </c>
      <c r="CE228" s="152">
        <f t="shared" si="160"/>
        <v>0</v>
      </c>
      <c r="CF228" s="152">
        <f t="shared" si="160"/>
        <v>0</v>
      </c>
      <c r="CG228" s="152">
        <f t="shared" si="160"/>
        <v>0</v>
      </c>
      <c r="CH228" s="152">
        <f t="shared" si="160"/>
        <v>0</v>
      </c>
      <c r="CI228" s="152">
        <f t="shared" si="160"/>
        <v>0</v>
      </c>
      <c r="CJ228" s="151">
        <f t="shared" si="160"/>
        <v>0</v>
      </c>
      <c r="CK228" s="87"/>
      <c r="CM228" s="87"/>
      <c r="CO228" s="87"/>
      <c r="DG228" s="87"/>
      <c r="DN228" s="32">
        <v>227</v>
      </c>
      <c r="DO228" s="34" t="s">
        <v>682</v>
      </c>
      <c r="DP228" s="38">
        <f t="shared" si="151"/>
        <v>0</v>
      </c>
      <c r="DQ228" s="173" t="str">
        <f t="shared" si="147"/>
        <v>(Heal) 0</v>
      </c>
      <c r="DR228" s="36" t="str">
        <f t="shared" si="148"/>
        <v/>
      </c>
      <c r="DV228" s="176">
        <f t="shared" si="143"/>
        <v>0</v>
      </c>
      <c r="DW228" s="243">
        <f>IF(COUNTIF('Char Sheet p1'!$AP$7:$AP$35,DQ228)=0,0,ROUNDDOWN(SUMIF('Char Sheet p1'!$AP$7:$AP$35,DQ228,'Char Sheet p1'!$AQ$7:$AQ$35)/10,0))</f>
        <v>0</v>
      </c>
      <c r="DX228" s="240">
        <f t="shared" si="149"/>
        <v>0</v>
      </c>
      <c r="DY228" s="36">
        <f t="shared" si="155"/>
        <v>19</v>
      </c>
      <c r="DZ228" s="36" t="str">
        <f t="shared" si="144"/>
        <v/>
      </c>
      <c r="EA228"/>
      <c r="EB228"/>
      <c r="EC228"/>
      <c r="ED228"/>
      <c r="EE228" s="36">
        <f t="shared" si="152"/>
        <v>3</v>
      </c>
    </row>
    <row r="229" spans="1:135" s="25" customForma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5"/>
      <c r="Y229" s="5"/>
      <c r="Z229" s="5"/>
      <c r="AA229" s="5"/>
      <c r="AB229" s="5"/>
      <c r="AC229" s="5"/>
      <c r="AD229" s="5"/>
      <c r="AE229" s="16"/>
      <c r="AJ229" s="87"/>
      <c r="AK229" s="87"/>
      <c r="AL229" s="87"/>
      <c r="AM229" s="87"/>
      <c r="AN229" s="87"/>
      <c r="AO229" s="52" t="str">
        <f>CharGen!D39</f>
        <v>Night Eyes</v>
      </c>
      <c r="AP229" s="153">
        <f t="shared" si="157"/>
        <v>0</v>
      </c>
      <c r="AQ229" s="154">
        <f t="shared" si="158"/>
        <v>0</v>
      </c>
      <c r="AR229" s="153">
        <f t="shared" si="158"/>
        <v>0</v>
      </c>
      <c r="AS229" s="154">
        <f t="shared" si="158"/>
        <v>0</v>
      </c>
      <c r="AT229" s="153">
        <f t="shared" si="158"/>
        <v>0</v>
      </c>
      <c r="AU229" s="154">
        <f t="shared" si="158"/>
        <v>0</v>
      </c>
      <c r="AV229" s="153">
        <f t="shared" si="158"/>
        <v>0</v>
      </c>
      <c r="AW229" s="154">
        <f t="shared" si="158"/>
        <v>0</v>
      </c>
      <c r="AX229" s="153">
        <f t="shared" si="158"/>
        <v>0</v>
      </c>
      <c r="AY229" s="154">
        <f t="shared" si="158"/>
        <v>0</v>
      </c>
      <c r="AZ229" s="153">
        <f t="shared" si="158"/>
        <v>0</v>
      </c>
      <c r="BA229" s="154">
        <f t="shared" si="158"/>
        <v>0</v>
      </c>
      <c r="BB229" s="153">
        <f t="shared" si="158"/>
        <v>0</v>
      </c>
      <c r="BC229" s="154">
        <f t="shared" si="158"/>
        <v>0</v>
      </c>
      <c r="BD229" s="153">
        <f t="shared" si="158"/>
        <v>0</v>
      </c>
      <c r="BE229" s="154">
        <f t="shared" si="158"/>
        <v>0</v>
      </c>
      <c r="BF229" s="153">
        <f t="shared" si="158"/>
        <v>0</v>
      </c>
      <c r="BG229" s="154">
        <f t="shared" si="159"/>
        <v>0</v>
      </c>
      <c r="BH229" s="153">
        <f t="shared" si="159"/>
        <v>0</v>
      </c>
      <c r="BI229" s="154">
        <f t="shared" si="159"/>
        <v>0</v>
      </c>
      <c r="BJ229" s="153">
        <f t="shared" si="159"/>
        <v>0</v>
      </c>
      <c r="BK229" s="154">
        <f t="shared" si="159"/>
        <v>0</v>
      </c>
      <c r="BL229" s="153">
        <f t="shared" si="159"/>
        <v>0</v>
      </c>
      <c r="BM229" s="154">
        <f t="shared" si="159"/>
        <v>0</v>
      </c>
      <c r="BN229" s="153">
        <f t="shared" si="159"/>
        <v>0</v>
      </c>
      <c r="BO229" s="154">
        <f t="shared" si="159"/>
        <v>0</v>
      </c>
      <c r="BP229" s="153">
        <f t="shared" si="159"/>
        <v>0</v>
      </c>
      <c r="BQ229" s="154">
        <f t="shared" si="159"/>
        <v>0</v>
      </c>
      <c r="BR229" s="153">
        <f t="shared" si="159"/>
        <v>0</v>
      </c>
      <c r="BS229" s="154">
        <f t="shared" si="159"/>
        <v>0</v>
      </c>
      <c r="BT229" s="153">
        <f t="shared" si="159"/>
        <v>0</v>
      </c>
      <c r="BU229" s="154">
        <f t="shared" si="159"/>
        <v>0</v>
      </c>
      <c r="BV229" s="153">
        <f t="shared" si="159"/>
        <v>0</v>
      </c>
      <c r="BW229" s="154">
        <f t="shared" si="160"/>
        <v>0</v>
      </c>
      <c r="BX229" s="153">
        <f t="shared" si="160"/>
        <v>0</v>
      </c>
      <c r="BY229" s="154">
        <f t="shared" si="160"/>
        <v>0</v>
      </c>
      <c r="BZ229" s="153">
        <f t="shared" si="160"/>
        <v>0</v>
      </c>
      <c r="CA229" s="154">
        <f t="shared" si="160"/>
        <v>0</v>
      </c>
      <c r="CB229" s="155">
        <f t="shared" si="160"/>
        <v>0</v>
      </c>
      <c r="CC229" s="155">
        <f t="shared" si="160"/>
        <v>0</v>
      </c>
      <c r="CD229" s="155">
        <f t="shared" si="160"/>
        <v>0</v>
      </c>
      <c r="CE229" s="155">
        <f t="shared" si="160"/>
        <v>0</v>
      </c>
      <c r="CF229" s="155">
        <f t="shared" si="160"/>
        <v>0</v>
      </c>
      <c r="CG229" s="155">
        <f t="shared" si="160"/>
        <v>0</v>
      </c>
      <c r="CH229" s="155">
        <f t="shared" si="160"/>
        <v>0</v>
      </c>
      <c r="CI229" s="155">
        <f t="shared" si="160"/>
        <v>0</v>
      </c>
      <c r="CJ229" s="154">
        <f t="shared" si="160"/>
        <v>0</v>
      </c>
      <c r="CK229" s="87"/>
      <c r="CM229" s="87"/>
      <c r="CO229" s="87"/>
      <c r="DG229" s="87"/>
      <c r="DN229" s="32">
        <v>228</v>
      </c>
      <c r="DO229" s="34" t="s">
        <v>682</v>
      </c>
      <c r="DP229" s="38">
        <f t="shared" si="151"/>
        <v>0</v>
      </c>
      <c r="DQ229" s="173" t="str">
        <f t="shared" si="147"/>
        <v>(Heal) 0</v>
      </c>
      <c r="DR229" s="36" t="str">
        <f t="shared" si="148"/>
        <v/>
      </c>
      <c r="DV229" s="176">
        <f t="shared" si="143"/>
        <v>0</v>
      </c>
      <c r="DW229" s="243">
        <f>IF(COUNTIF('Char Sheet p1'!$AP$7:$AP$35,DQ229)=0,0,ROUNDDOWN(SUMIF('Char Sheet p1'!$AP$7:$AP$35,DQ229,'Char Sheet p1'!$AQ$7:$AQ$35)/10,0))</f>
        <v>0</v>
      </c>
      <c r="DX229" s="240">
        <f t="shared" si="149"/>
        <v>0</v>
      </c>
      <c r="DY229" s="36">
        <f t="shared" si="155"/>
        <v>20</v>
      </c>
      <c r="DZ229" s="36" t="str">
        <f t="shared" si="144"/>
        <v/>
      </c>
      <c r="EA229"/>
      <c r="EB229"/>
      <c r="EC229"/>
      <c r="ED229"/>
      <c r="EE229" s="36">
        <f t="shared" si="152"/>
        <v>3</v>
      </c>
    </row>
    <row r="230" spans="1:135" s="25" customForma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5"/>
      <c r="Y230" s="5"/>
      <c r="Z230" s="5"/>
      <c r="AA230" s="5"/>
      <c r="AB230" s="5"/>
      <c r="AC230" s="5"/>
      <c r="AD230" s="5"/>
      <c r="AE230" s="16"/>
      <c r="AJ230" s="87"/>
      <c r="AK230" s="87"/>
      <c r="AL230" s="87"/>
      <c r="AM230" s="87"/>
      <c r="AN230" s="87"/>
      <c r="AO230" s="52" t="str">
        <f>CharGen!D41</f>
        <v>Furtive</v>
      </c>
      <c r="AP230" s="153">
        <f t="shared" si="157"/>
        <v>0</v>
      </c>
      <c r="AQ230" s="154">
        <f t="shared" si="158"/>
        <v>0</v>
      </c>
      <c r="AR230" s="153">
        <f t="shared" si="158"/>
        <v>0</v>
      </c>
      <c r="AS230" s="154">
        <f t="shared" si="158"/>
        <v>0</v>
      </c>
      <c r="AT230" s="153">
        <f t="shared" si="158"/>
        <v>0</v>
      </c>
      <c r="AU230" s="154">
        <f t="shared" si="158"/>
        <v>0</v>
      </c>
      <c r="AV230" s="153">
        <f t="shared" si="158"/>
        <v>0</v>
      </c>
      <c r="AW230" s="154">
        <f t="shared" si="158"/>
        <v>0</v>
      </c>
      <c r="AX230" s="153">
        <f t="shared" si="158"/>
        <v>0</v>
      </c>
      <c r="AY230" s="154">
        <f t="shared" si="158"/>
        <v>0</v>
      </c>
      <c r="AZ230" s="153">
        <f t="shared" si="158"/>
        <v>0</v>
      </c>
      <c r="BA230" s="154">
        <f t="shared" si="158"/>
        <v>0</v>
      </c>
      <c r="BB230" s="153">
        <f t="shared" si="158"/>
        <v>0</v>
      </c>
      <c r="BC230" s="154">
        <f t="shared" si="158"/>
        <v>0</v>
      </c>
      <c r="BD230" s="153">
        <f t="shared" si="158"/>
        <v>0</v>
      </c>
      <c r="BE230" s="154">
        <f t="shared" si="158"/>
        <v>0</v>
      </c>
      <c r="BF230" s="153">
        <f t="shared" si="158"/>
        <v>0</v>
      </c>
      <c r="BG230" s="154">
        <f t="shared" si="159"/>
        <v>0</v>
      </c>
      <c r="BH230" s="153">
        <f t="shared" si="159"/>
        <v>0</v>
      </c>
      <c r="BI230" s="154">
        <f t="shared" si="159"/>
        <v>0</v>
      </c>
      <c r="BJ230" s="153">
        <f t="shared" si="159"/>
        <v>0</v>
      </c>
      <c r="BK230" s="154">
        <f t="shared" si="159"/>
        <v>0</v>
      </c>
      <c r="BL230" s="153">
        <f t="shared" si="159"/>
        <v>0</v>
      </c>
      <c r="BM230" s="154">
        <f t="shared" si="159"/>
        <v>0</v>
      </c>
      <c r="BN230" s="153">
        <f t="shared" si="159"/>
        <v>0</v>
      </c>
      <c r="BO230" s="154">
        <f t="shared" si="159"/>
        <v>0</v>
      </c>
      <c r="BP230" s="153">
        <f t="shared" si="159"/>
        <v>0</v>
      </c>
      <c r="BQ230" s="154">
        <f t="shared" si="159"/>
        <v>0</v>
      </c>
      <c r="BR230" s="153">
        <f t="shared" si="159"/>
        <v>0</v>
      </c>
      <c r="BS230" s="154">
        <f t="shared" si="159"/>
        <v>0</v>
      </c>
      <c r="BT230" s="153">
        <f t="shared" si="159"/>
        <v>0</v>
      </c>
      <c r="BU230" s="154">
        <f t="shared" si="159"/>
        <v>0</v>
      </c>
      <c r="BV230" s="153">
        <f t="shared" si="159"/>
        <v>0</v>
      </c>
      <c r="BW230" s="154">
        <f t="shared" si="160"/>
        <v>0</v>
      </c>
      <c r="BX230" s="153">
        <f t="shared" si="160"/>
        <v>0</v>
      </c>
      <c r="BY230" s="154">
        <f t="shared" si="160"/>
        <v>0</v>
      </c>
      <c r="BZ230" s="153">
        <f t="shared" si="160"/>
        <v>0</v>
      </c>
      <c r="CA230" s="154">
        <f t="shared" si="160"/>
        <v>0</v>
      </c>
      <c r="CB230" s="155">
        <f t="shared" si="160"/>
        <v>0</v>
      </c>
      <c r="CC230" s="155">
        <f t="shared" si="160"/>
        <v>0</v>
      </c>
      <c r="CD230" s="155">
        <f t="shared" si="160"/>
        <v>0</v>
      </c>
      <c r="CE230" s="155">
        <f t="shared" si="160"/>
        <v>0</v>
      </c>
      <c r="CF230" s="155">
        <f t="shared" si="160"/>
        <v>0</v>
      </c>
      <c r="CG230" s="155">
        <f t="shared" si="160"/>
        <v>0</v>
      </c>
      <c r="CH230" s="155">
        <f t="shared" si="160"/>
        <v>0</v>
      </c>
      <c r="CI230" s="155">
        <f t="shared" si="160"/>
        <v>0</v>
      </c>
      <c r="CJ230" s="154">
        <f t="shared" si="160"/>
        <v>0</v>
      </c>
      <c r="CK230" s="87"/>
      <c r="CM230" s="87"/>
      <c r="CO230" s="87"/>
      <c r="DG230" s="87"/>
      <c r="DN230" s="32">
        <v>229</v>
      </c>
      <c r="DO230" s="34" t="s">
        <v>682</v>
      </c>
      <c r="DP230" s="38">
        <f t="shared" si="151"/>
        <v>0</v>
      </c>
      <c r="DQ230" s="173" t="str">
        <f t="shared" si="147"/>
        <v>(Heal) 0</v>
      </c>
      <c r="DR230" s="36" t="str">
        <f t="shared" si="148"/>
        <v/>
      </c>
      <c r="DV230" s="176">
        <f t="shared" si="143"/>
        <v>0</v>
      </c>
      <c r="DW230" s="243">
        <f>IF(COUNTIF('Char Sheet p1'!$AP$7:$AP$35,DQ230)=0,0,ROUNDDOWN(SUMIF('Char Sheet p1'!$AP$7:$AP$35,DQ230,'Char Sheet p1'!$AQ$7:$AQ$35)/10,0))</f>
        <v>0</v>
      </c>
      <c r="DX230" s="240">
        <f t="shared" si="149"/>
        <v>0</v>
      </c>
      <c r="DY230" s="36">
        <f t="shared" si="155"/>
        <v>21</v>
      </c>
      <c r="DZ230" s="36" t="str">
        <f t="shared" si="144"/>
        <v/>
      </c>
      <c r="EA230"/>
      <c r="EB230"/>
      <c r="EC230"/>
      <c r="ED230"/>
      <c r="EE230" s="36">
        <f t="shared" si="152"/>
        <v>3</v>
      </c>
    </row>
    <row r="231" spans="1:135" s="25" customForma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5"/>
      <c r="Y231" s="5"/>
      <c r="Z231" s="5"/>
      <c r="AA231" s="5"/>
      <c r="AB231" s="5"/>
      <c r="AC231" s="5"/>
      <c r="AD231" s="5"/>
      <c r="AE231" s="16"/>
      <c r="AJ231" s="87"/>
      <c r="AK231" s="87"/>
      <c r="AL231" s="87"/>
      <c r="AM231" s="87"/>
      <c r="AN231" s="87"/>
      <c r="AO231" s="52">
        <f>IF(CharGen!B46="Benefit",CharGen!D46,0)</f>
        <v>0</v>
      </c>
      <c r="AP231" s="153">
        <f t="shared" si="157"/>
        <v>0</v>
      </c>
      <c r="AQ231" s="154">
        <f t="shared" si="158"/>
        <v>0</v>
      </c>
      <c r="AR231" s="153">
        <f t="shared" si="158"/>
        <v>0</v>
      </c>
      <c r="AS231" s="154">
        <f t="shared" si="158"/>
        <v>0</v>
      </c>
      <c r="AT231" s="153">
        <f t="shared" si="158"/>
        <v>0</v>
      </c>
      <c r="AU231" s="154">
        <f t="shared" si="158"/>
        <v>0</v>
      </c>
      <c r="AV231" s="153">
        <f t="shared" si="158"/>
        <v>0</v>
      </c>
      <c r="AW231" s="154">
        <f t="shared" si="158"/>
        <v>0</v>
      </c>
      <c r="AX231" s="153">
        <f t="shared" si="158"/>
        <v>0</v>
      </c>
      <c r="AY231" s="154">
        <f t="shared" si="158"/>
        <v>0</v>
      </c>
      <c r="AZ231" s="153">
        <f t="shared" si="158"/>
        <v>0</v>
      </c>
      <c r="BA231" s="154">
        <f t="shared" si="158"/>
        <v>0</v>
      </c>
      <c r="BB231" s="153">
        <f t="shared" si="158"/>
        <v>0</v>
      </c>
      <c r="BC231" s="154">
        <f t="shared" si="158"/>
        <v>0</v>
      </c>
      <c r="BD231" s="153">
        <f t="shared" si="158"/>
        <v>0</v>
      </c>
      <c r="BE231" s="154">
        <f t="shared" si="158"/>
        <v>0</v>
      </c>
      <c r="BF231" s="153">
        <f t="shared" si="158"/>
        <v>0</v>
      </c>
      <c r="BG231" s="154">
        <f t="shared" si="159"/>
        <v>0</v>
      </c>
      <c r="BH231" s="153">
        <f t="shared" si="159"/>
        <v>0</v>
      </c>
      <c r="BI231" s="154">
        <f t="shared" si="159"/>
        <v>0</v>
      </c>
      <c r="BJ231" s="153">
        <f t="shared" si="159"/>
        <v>0</v>
      </c>
      <c r="BK231" s="154">
        <f t="shared" si="159"/>
        <v>0</v>
      </c>
      <c r="BL231" s="153">
        <f t="shared" si="159"/>
        <v>0</v>
      </c>
      <c r="BM231" s="154">
        <f t="shared" si="159"/>
        <v>0</v>
      </c>
      <c r="BN231" s="153">
        <f t="shared" si="159"/>
        <v>0</v>
      </c>
      <c r="BO231" s="154">
        <f t="shared" si="159"/>
        <v>0</v>
      </c>
      <c r="BP231" s="153">
        <f t="shared" si="159"/>
        <v>0</v>
      </c>
      <c r="BQ231" s="154">
        <f t="shared" si="159"/>
        <v>0</v>
      </c>
      <c r="BR231" s="153">
        <f t="shared" si="159"/>
        <v>0</v>
      </c>
      <c r="BS231" s="154">
        <f t="shared" si="159"/>
        <v>0</v>
      </c>
      <c r="BT231" s="153">
        <f t="shared" si="159"/>
        <v>0</v>
      </c>
      <c r="BU231" s="154">
        <f t="shared" si="159"/>
        <v>0</v>
      </c>
      <c r="BV231" s="153">
        <f t="shared" si="159"/>
        <v>0</v>
      </c>
      <c r="BW231" s="154">
        <f t="shared" si="160"/>
        <v>0</v>
      </c>
      <c r="BX231" s="153">
        <f t="shared" si="160"/>
        <v>0</v>
      </c>
      <c r="BY231" s="154">
        <f t="shared" si="160"/>
        <v>0</v>
      </c>
      <c r="BZ231" s="153">
        <f t="shared" si="160"/>
        <v>0</v>
      </c>
      <c r="CA231" s="154">
        <f t="shared" si="160"/>
        <v>0</v>
      </c>
      <c r="CB231" s="155">
        <f t="shared" si="160"/>
        <v>0</v>
      </c>
      <c r="CC231" s="155">
        <f t="shared" si="160"/>
        <v>0</v>
      </c>
      <c r="CD231" s="155">
        <f t="shared" si="160"/>
        <v>0</v>
      </c>
      <c r="CE231" s="155">
        <f t="shared" si="160"/>
        <v>0</v>
      </c>
      <c r="CF231" s="155">
        <f t="shared" si="160"/>
        <v>0</v>
      </c>
      <c r="CG231" s="155">
        <f t="shared" si="160"/>
        <v>0</v>
      </c>
      <c r="CH231" s="155">
        <f t="shared" si="160"/>
        <v>0</v>
      </c>
      <c r="CI231" s="155">
        <f t="shared" si="160"/>
        <v>0</v>
      </c>
      <c r="CJ231" s="154">
        <f t="shared" si="160"/>
        <v>0</v>
      </c>
      <c r="CK231" s="87"/>
      <c r="CM231" s="87"/>
      <c r="CO231" s="87"/>
      <c r="DG231" s="87"/>
      <c r="DN231" s="32">
        <v>230</v>
      </c>
      <c r="DO231" s="34" t="s">
        <v>682</v>
      </c>
      <c r="DP231" s="38">
        <f t="shared" si="151"/>
        <v>0</v>
      </c>
      <c r="DQ231" s="173" t="str">
        <f t="shared" si="147"/>
        <v>(Heal) 0</v>
      </c>
      <c r="DR231" s="36" t="str">
        <f t="shared" si="148"/>
        <v/>
      </c>
      <c r="DV231" s="176">
        <f t="shared" si="143"/>
        <v>0</v>
      </c>
      <c r="DW231" s="243">
        <f>IF(COUNTIF('Char Sheet p1'!$AP$7:$AP$35,DQ231)=0,0,ROUNDDOWN(SUMIF('Char Sheet p1'!$AP$7:$AP$35,DQ231,'Char Sheet p1'!$AQ$7:$AQ$35)/10,0))</f>
        <v>0</v>
      </c>
      <c r="DX231" s="240">
        <f t="shared" si="149"/>
        <v>0</v>
      </c>
      <c r="DY231" s="36">
        <f t="shared" si="155"/>
        <v>22</v>
      </c>
      <c r="DZ231" s="36" t="str">
        <f t="shared" si="144"/>
        <v/>
      </c>
      <c r="EA231"/>
      <c r="EB231"/>
      <c r="EC231"/>
      <c r="ED231"/>
      <c r="EE231" s="36">
        <f t="shared" si="152"/>
        <v>3</v>
      </c>
    </row>
    <row r="232" spans="1:135" s="25" customForma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5"/>
      <c r="Y232" s="5"/>
      <c r="Z232" s="5"/>
      <c r="AA232" s="5"/>
      <c r="AB232" s="5"/>
      <c r="AC232" s="5"/>
      <c r="AD232" s="5"/>
      <c r="AE232" s="16"/>
      <c r="AJ232" s="87"/>
      <c r="AK232" s="87"/>
      <c r="AL232" s="87"/>
      <c r="AM232" s="87"/>
      <c r="AN232" s="87"/>
      <c r="AO232" s="52">
        <f>IF(CharGen!B48="Benefit",CharGen!D48,0)</f>
        <v>0</v>
      </c>
      <c r="AP232" s="153">
        <f t="shared" si="157"/>
        <v>0</v>
      </c>
      <c r="AQ232" s="154">
        <f t="shared" si="158"/>
        <v>0</v>
      </c>
      <c r="AR232" s="153">
        <f t="shared" si="158"/>
        <v>0</v>
      </c>
      <c r="AS232" s="154">
        <f t="shared" si="158"/>
        <v>0</v>
      </c>
      <c r="AT232" s="153">
        <f t="shared" si="158"/>
        <v>0</v>
      </c>
      <c r="AU232" s="154">
        <f t="shared" si="158"/>
        <v>0</v>
      </c>
      <c r="AV232" s="153">
        <f t="shared" si="158"/>
        <v>0</v>
      </c>
      <c r="AW232" s="154">
        <f t="shared" si="158"/>
        <v>0</v>
      </c>
      <c r="AX232" s="153">
        <f t="shared" si="158"/>
        <v>0</v>
      </c>
      <c r="AY232" s="154">
        <f t="shared" si="158"/>
        <v>0</v>
      </c>
      <c r="AZ232" s="153">
        <f t="shared" si="158"/>
        <v>0</v>
      </c>
      <c r="BA232" s="154">
        <f t="shared" si="158"/>
        <v>0</v>
      </c>
      <c r="BB232" s="153">
        <f t="shared" si="158"/>
        <v>0</v>
      </c>
      <c r="BC232" s="154">
        <f t="shared" si="158"/>
        <v>0</v>
      </c>
      <c r="BD232" s="153">
        <f t="shared" si="158"/>
        <v>0</v>
      </c>
      <c r="BE232" s="154">
        <f t="shared" si="158"/>
        <v>0</v>
      </c>
      <c r="BF232" s="153">
        <f t="shared" si="158"/>
        <v>0</v>
      </c>
      <c r="BG232" s="154">
        <f t="shared" si="159"/>
        <v>0</v>
      </c>
      <c r="BH232" s="153">
        <f t="shared" si="159"/>
        <v>0</v>
      </c>
      <c r="BI232" s="154">
        <f t="shared" si="159"/>
        <v>0</v>
      </c>
      <c r="BJ232" s="153">
        <f t="shared" si="159"/>
        <v>0</v>
      </c>
      <c r="BK232" s="154">
        <f t="shared" si="159"/>
        <v>0</v>
      </c>
      <c r="BL232" s="153">
        <f t="shared" si="159"/>
        <v>0</v>
      </c>
      <c r="BM232" s="154">
        <f t="shared" si="159"/>
        <v>0</v>
      </c>
      <c r="BN232" s="153">
        <f t="shared" si="159"/>
        <v>0</v>
      </c>
      <c r="BO232" s="154">
        <f t="shared" si="159"/>
        <v>0</v>
      </c>
      <c r="BP232" s="153">
        <f t="shared" si="159"/>
        <v>0</v>
      </c>
      <c r="BQ232" s="154">
        <f t="shared" si="159"/>
        <v>0</v>
      </c>
      <c r="BR232" s="153">
        <f t="shared" si="159"/>
        <v>0</v>
      </c>
      <c r="BS232" s="154">
        <f t="shared" si="159"/>
        <v>0</v>
      </c>
      <c r="BT232" s="153">
        <f t="shared" si="159"/>
        <v>0</v>
      </c>
      <c r="BU232" s="154">
        <f t="shared" si="159"/>
        <v>0</v>
      </c>
      <c r="BV232" s="153">
        <f t="shared" si="159"/>
        <v>0</v>
      </c>
      <c r="BW232" s="154">
        <f t="shared" si="160"/>
        <v>0</v>
      </c>
      <c r="BX232" s="153">
        <f t="shared" si="160"/>
        <v>0</v>
      </c>
      <c r="BY232" s="154">
        <f t="shared" si="160"/>
        <v>0</v>
      </c>
      <c r="BZ232" s="153">
        <f t="shared" si="160"/>
        <v>0</v>
      </c>
      <c r="CA232" s="154">
        <f t="shared" si="160"/>
        <v>0</v>
      </c>
      <c r="CB232" s="155">
        <f t="shared" si="160"/>
        <v>0</v>
      </c>
      <c r="CC232" s="155">
        <f t="shared" si="160"/>
        <v>0</v>
      </c>
      <c r="CD232" s="155">
        <f t="shared" si="160"/>
        <v>0</v>
      </c>
      <c r="CE232" s="155">
        <f t="shared" si="160"/>
        <v>0</v>
      </c>
      <c r="CF232" s="155">
        <f t="shared" si="160"/>
        <v>0</v>
      </c>
      <c r="CG232" s="155">
        <f t="shared" si="160"/>
        <v>0</v>
      </c>
      <c r="CH232" s="155">
        <f t="shared" si="160"/>
        <v>0</v>
      </c>
      <c r="CI232" s="155">
        <f t="shared" si="160"/>
        <v>0</v>
      </c>
      <c r="CJ232" s="154">
        <f t="shared" si="160"/>
        <v>0</v>
      </c>
      <c r="CK232" s="87"/>
      <c r="CM232" s="87"/>
      <c r="CO232" s="87"/>
      <c r="DG232" s="87"/>
      <c r="DN232" s="32">
        <v>231</v>
      </c>
      <c r="DO232" s="34" t="s">
        <v>682</v>
      </c>
      <c r="DP232" s="38">
        <f t="shared" si="151"/>
        <v>0</v>
      </c>
      <c r="DQ232" s="173" t="str">
        <f t="shared" si="147"/>
        <v>(Heal) 0</v>
      </c>
      <c r="DR232" s="36" t="str">
        <f t="shared" si="148"/>
        <v/>
      </c>
      <c r="DV232" s="176">
        <f t="shared" si="143"/>
        <v>0</v>
      </c>
      <c r="DW232" s="243">
        <f>IF(COUNTIF('Char Sheet p1'!$AP$7:$AP$35,DQ232)=0,0,ROUNDDOWN(SUMIF('Char Sheet p1'!$AP$7:$AP$35,DQ232,'Char Sheet p1'!$AQ$7:$AQ$35)/10,0))</f>
        <v>0</v>
      </c>
      <c r="DX232" s="240">
        <f t="shared" si="149"/>
        <v>0</v>
      </c>
      <c r="DY232" s="36">
        <f t="shared" si="155"/>
        <v>23</v>
      </c>
      <c r="DZ232" s="36" t="str">
        <f t="shared" si="144"/>
        <v/>
      </c>
      <c r="EA232"/>
      <c r="EB232"/>
      <c r="EC232"/>
      <c r="ED232"/>
      <c r="EE232" s="36">
        <f t="shared" si="152"/>
        <v>3</v>
      </c>
    </row>
    <row r="233" spans="1:135" s="25" customForma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5"/>
      <c r="Y233" s="5"/>
      <c r="Z233" s="5"/>
      <c r="AA233" s="5"/>
      <c r="AB233" s="5"/>
      <c r="AC233" s="5"/>
      <c r="AD233" s="5"/>
      <c r="AE233" s="16"/>
      <c r="AJ233" s="87"/>
      <c r="AK233" s="87"/>
      <c r="AL233" s="87"/>
      <c r="AM233" s="87"/>
      <c r="AN233" s="87"/>
      <c r="AO233" s="74">
        <f>IF(CharGen!B49="Benefit",CharGen!D49,0)</f>
        <v>0</v>
      </c>
      <c r="AP233" s="156">
        <f t="shared" si="157"/>
        <v>0</v>
      </c>
      <c r="AQ233" s="157">
        <f t="shared" si="158"/>
        <v>0</v>
      </c>
      <c r="AR233" s="156">
        <f t="shared" si="158"/>
        <v>0</v>
      </c>
      <c r="AS233" s="157">
        <f t="shared" si="158"/>
        <v>0</v>
      </c>
      <c r="AT233" s="156">
        <f t="shared" si="158"/>
        <v>0</v>
      </c>
      <c r="AU233" s="157">
        <f t="shared" si="158"/>
        <v>0</v>
      </c>
      <c r="AV233" s="156">
        <f t="shared" si="158"/>
        <v>0</v>
      </c>
      <c r="AW233" s="157">
        <f t="shared" si="158"/>
        <v>0</v>
      </c>
      <c r="AX233" s="156">
        <f t="shared" si="158"/>
        <v>0</v>
      </c>
      <c r="AY233" s="157">
        <f t="shared" si="158"/>
        <v>0</v>
      </c>
      <c r="AZ233" s="156">
        <f t="shared" si="158"/>
        <v>0</v>
      </c>
      <c r="BA233" s="157">
        <f t="shared" si="158"/>
        <v>0</v>
      </c>
      <c r="BB233" s="156">
        <f t="shared" si="158"/>
        <v>0</v>
      </c>
      <c r="BC233" s="157">
        <f t="shared" si="158"/>
        <v>0</v>
      </c>
      <c r="BD233" s="156">
        <f t="shared" si="158"/>
        <v>0</v>
      </c>
      <c r="BE233" s="157">
        <f t="shared" si="158"/>
        <v>0</v>
      </c>
      <c r="BF233" s="156">
        <f t="shared" si="158"/>
        <v>0</v>
      </c>
      <c r="BG233" s="157">
        <f t="shared" si="159"/>
        <v>0</v>
      </c>
      <c r="BH233" s="156">
        <f t="shared" si="159"/>
        <v>0</v>
      </c>
      <c r="BI233" s="157">
        <f t="shared" si="159"/>
        <v>0</v>
      </c>
      <c r="BJ233" s="156">
        <f t="shared" si="159"/>
        <v>0</v>
      </c>
      <c r="BK233" s="157">
        <f t="shared" si="159"/>
        <v>0</v>
      </c>
      <c r="BL233" s="156">
        <f t="shared" si="159"/>
        <v>0</v>
      </c>
      <c r="BM233" s="157">
        <f t="shared" si="159"/>
        <v>0</v>
      </c>
      <c r="BN233" s="156">
        <f t="shared" si="159"/>
        <v>0</v>
      </c>
      <c r="BO233" s="157">
        <f t="shared" si="159"/>
        <v>0</v>
      </c>
      <c r="BP233" s="156">
        <f t="shared" si="159"/>
        <v>0</v>
      </c>
      <c r="BQ233" s="157">
        <f t="shared" si="159"/>
        <v>0</v>
      </c>
      <c r="BR233" s="156">
        <f t="shared" si="159"/>
        <v>0</v>
      </c>
      <c r="BS233" s="157">
        <f t="shared" si="159"/>
        <v>0</v>
      </c>
      <c r="BT233" s="156">
        <f t="shared" si="159"/>
        <v>0</v>
      </c>
      <c r="BU233" s="157">
        <f t="shared" si="159"/>
        <v>0</v>
      </c>
      <c r="BV233" s="156">
        <f t="shared" si="159"/>
        <v>0</v>
      </c>
      <c r="BW233" s="157">
        <f t="shared" si="160"/>
        <v>0</v>
      </c>
      <c r="BX233" s="156">
        <f t="shared" si="160"/>
        <v>0</v>
      </c>
      <c r="BY233" s="157">
        <f t="shared" si="160"/>
        <v>0</v>
      </c>
      <c r="BZ233" s="156">
        <f t="shared" si="160"/>
        <v>0</v>
      </c>
      <c r="CA233" s="157">
        <f t="shared" si="160"/>
        <v>0</v>
      </c>
      <c r="CB233" s="158">
        <f t="shared" si="160"/>
        <v>0</v>
      </c>
      <c r="CC233" s="158">
        <f t="shared" si="160"/>
        <v>0</v>
      </c>
      <c r="CD233" s="158">
        <f t="shared" si="160"/>
        <v>0</v>
      </c>
      <c r="CE233" s="158">
        <f t="shared" si="160"/>
        <v>0</v>
      </c>
      <c r="CF233" s="158">
        <f t="shared" si="160"/>
        <v>0</v>
      </c>
      <c r="CG233" s="158">
        <f t="shared" si="160"/>
        <v>0</v>
      </c>
      <c r="CH233" s="158">
        <f t="shared" si="160"/>
        <v>0</v>
      </c>
      <c r="CI233" s="158">
        <f t="shared" si="160"/>
        <v>0</v>
      </c>
      <c r="CJ233" s="157">
        <f t="shared" si="160"/>
        <v>0</v>
      </c>
      <c r="CK233" s="87"/>
      <c r="CM233" s="87"/>
      <c r="CO233" s="87"/>
      <c r="DG233" s="87"/>
      <c r="DN233" s="32">
        <v>232</v>
      </c>
      <c r="DO233" s="34" t="s">
        <v>682</v>
      </c>
      <c r="DP233" s="38">
        <f t="shared" si="151"/>
        <v>0</v>
      </c>
      <c r="DQ233" s="173" t="str">
        <f t="shared" si="147"/>
        <v>(Heal) 0</v>
      </c>
      <c r="DR233" s="36" t="str">
        <f t="shared" si="148"/>
        <v/>
      </c>
      <c r="DV233" s="176">
        <f t="shared" si="143"/>
        <v>0</v>
      </c>
      <c r="DW233" s="243">
        <f>IF(COUNTIF('Char Sheet p1'!$AP$7:$AP$35,DQ233)=0,0,ROUNDDOWN(SUMIF('Char Sheet p1'!$AP$7:$AP$35,DQ233,'Char Sheet p1'!$AQ$7:$AQ$35)/10,0))</f>
        <v>0</v>
      </c>
      <c r="DX233" s="240">
        <f t="shared" si="149"/>
        <v>0</v>
      </c>
      <c r="DY233" s="36">
        <f t="shared" si="155"/>
        <v>24</v>
      </c>
      <c r="DZ233" s="36" t="str">
        <f t="shared" si="144"/>
        <v/>
      </c>
      <c r="EA233"/>
      <c r="EB233"/>
      <c r="EC233"/>
      <c r="ED233"/>
      <c r="EE233" s="36">
        <f t="shared" si="152"/>
        <v>3</v>
      </c>
    </row>
    <row r="234" spans="1:135" s="25" customForma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5"/>
      <c r="Y234" s="5"/>
      <c r="Z234" s="5"/>
      <c r="AA234" s="5"/>
      <c r="AB234" s="5"/>
      <c r="AC234" s="5"/>
      <c r="AD234" s="5"/>
      <c r="AE234" s="16"/>
      <c r="AG234" s="133"/>
      <c r="AH234" s="133"/>
      <c r="AI234" s="133"/>
      <c r="AJ234" s="88"/>
      <c r="AK234" s="88"/>
      <c r="AL234" s="88"/>
      <c r="AM234" s="88"/>
      <c r="AN234" s="88"/>
      <c r="AO234" s="118"/>
      <c r="AP234" s="132"/>
      <c r="AQ234" s="118"/>
      <c r="AR234" s="118"/>
      <c r="AS234" s="118"/>
      <c r="AT234" s="118"/>
      <c r="AU234" s="118"/>
      <c r="AV234" s="118"/>
      <c r="AW234" s="118"/>
      <c r="AX234" s="118"/>
      <c r="AY234" s="118"/>
      <c r="AZ234" s="118"/>
      <c r="BA234" s="118"/>
      <c r="BB234" s="118"/>
      <c r="BC234" s="118"/>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c r="BX234" s="126"/>
      <c r="BY234" s="126"/>
      <c r="BZ234" s="126"/>
      <c r="CA234" s="126"/>
      <c r="CB234" s="126"/>
      <c r="CC234" s="126"/>
      <c r="CD234" s="126"/>
      <c r="CE234" s="126"/>
      <c r="CF234" s="126"/>
      <c r="CG234" s="126"/>
      <c r="CH234" s="126"/>
      <c r="CI234" s="126"/>
      <c r="CJ234" s="126"/>
      <c r="CK234" s="88"/>
      <c r="CM234" s="88"/>
      <c r="CO234" s="88"/>
      <c r="DG234" s="87"/>
      <c r="DN234" s="32">
        <v>233</v>
      </c>
      <c r="DO234" s="34" t="s">
        <v>682</v>
      </c>
      <c r="DP234" s="38">
        <f t="shared" si="151"/>
        <v>0</v>
      </c>
      <c r="DQ234" s="173" t="str">
        <f t="shared" si="147"/>
        <v>(Heal) 0</v>
      </c>
      <c r="DR234" s="36" t="str">
        <f t="shared" si="148"/>
        <v/>
      </c>
      <c r="DV234" s="176">
        <f t="shared" si="143"/>
        <v>0</v>
      </c>
      <c r="DW234" s="243">
        <f>IF(COUNTIF('Char Sheet p1'!$AP$7:$AP$35,DQ234)=0,0,ROUNDDOWN(SUMIF('Char Sheet p1'!$AP$7:$AP$35,DQ234,'Char Sheet p1'!$AQ$7:$AQ$35)/10,0))</f>
        <v>0</v>
      </c>
      <c r="DX234" s="240">
        <f t="shared" si="149"/>
        <v>0</v>
      </c>
      <c r="DY234" s="36">
        <f t="shared" si="155"/>
        <v>25</v>
      </c>
      <c r="DZ234" s="36" t="str">
        <f t="shared" si="144"/>
        <v/>
      </c>
      <c r="EA234"/>
      <c r="EB234"/>
      <c r="EC234"/>
      <c r="ED234"/>
      <c r="EE234" s="36">
        <f t="shared" si="152"/>
        <v>3</v>
      </c>
    </row>
    <row r="235" spans="1:135" ht="22.5">
      <c r="AG235" s="17" t="s">
        <v>632</v>
      </c>
      <c r="AH235" s="18" t="s">
        <v>751</v>
      </c>
      <c r="AI235" s="18" t="s">
        <v>752</v>
      </c>
      <c r="AJ235" s="11" t="s">
        <v>969</v>
      </c>
      <c r="AK235" s="19" t="s">
        <v>247</v>
      </c>
      <c r="AL235" s="119"/>
      <c r="AM235" s="18" t="s">
        <v>986</v>
      </c>
      <c r="AN235" s="11" t="s">
        <v>170</v>
      </c>
      <c r="AO235" s="20" t="s">
        <v>805</v>
      </c>
      <c r="AP235" s="17" t="s">
        <v>640</v>
      </c>
      <c r="AQ235" s="20" t="s">
        <v>326</v>
      </c>
      <c r="AR235" s="143" t="s">
        <v>339</v>
      </c>
      <c r="AS235" s="20" t="s">
        <v>326</v>
      </c>
      <c r="AT235" s="17" t="s">
        <v>651</v>
      </c>
      <c r="AU235" s="20" t="s">
        <v>326</v>
      </c>
      <c r="AV235" s="17" t="s">
        <v>658</v>
      </c>
      <c r="AW235" s="20" t="s">
        <v>326</v>
      </c>
      <c r="AX235" s="17" t="s">
        <v>661</v>
      </c>
      <c r="AY235" s="20" t="s">
        <v>326</v>
      </c>
      <c r="AZ235" s="17" t="s">
        <v>664</v>
      </c>
      <c r="BA235" s="20" t="s">
        <v>326</v>
      </c>
      <c r="BB235" s="17" t="s">
        <v>669</v>
      </c>
      <c r="BC235" s="20" t="s">
        <v>326</v>
      </c>
      <c r="BD235" s="17" t="s">
        <v>672</v>
      </c>
      <c r="BE235" s="20" t="s">
        <v>326</v>
      </c>
      <c r="BF235" s="17" t="s">
        <v>682</v>
      </c>
      <c r="BG235" s="20" t="s">
        <v>326</v>
      </c>
      <c r="BH235" s="17" t="s">
        <v>686</v>
      </c>
      <c r="BI235" s="20" t="s">
        <v>326</v>
      </c>
      <c r="BJ235" s="17" t="s">
        <v>690</v>
      </c>
      <c r="BK235" s="20" t="s">
        <v>326</v>
      </c>
      <c r="BL235" s="17" t="s">
        <v>691</v>
      </c>
      <c r="BM235" s="20" t="s">
        <v>326</v>
      </c>
      <c r="BN235" s="17" t="s">
        <v>697</v>
      </c>
      <c r="BO235" s="20" t="s">
        <v>326</v>
      </c>
      <c r="BP235" s="17" t="s">
        <v>704</v>
      </c>
      <c r="BQ235" s="20" t="s">
        <v>326</v>
      </c>
      <c r="BR235" s="17" t="s">
        <v>709</v>
      </c>
      <c r="BS235" s="20" t="s">
        <v>326</v>
      </c>
      <c r="BT235" s="17" t="s">
        <v>712</v>
      </c>
      <c r="BU235" s="20" t="s">
        <v>326</v>
      </c>
      <c r="BV235" s="17" t="s">
        <v>717</v>
      </c>
      <c r="BW235" s="20" t="s">
        <v>326</v>
      </c>
      <c r="BX235" s="17" t="s">
        <v>721</v>
      </c>
      <c r="BY235" s="20" t="s">
        <v>326</v>
      </c>
      <c r="BZ235" s="17" t="s">
        <v>725</v>
      </c>
      <c r="CA235" s="20" t="s">
        <v>326</v>
      </c>
      <c r="CB235" s="137" t="s">
        <v>336</v>
      </c>
      <c r="CC235" s="137" t="s">
        <v>337</v>
      </c>
      <c r="CD235" s="122" t="s">
        <v>324</v>
      </c>
      <c r="CE235" s="137" t="s">
        <v>338</v>
      </c>
      <c r="CF235" s="122" t="s">
        <v>325</v>
      </c>
      <c r="CG235" s="122" t="s">
        <v>729</v>
      </c>
      <c r="CH235" s="122" t="s">
        <v>731</v>
      </c>
      <c r="CI235" s="122" t="s">
        <v>329</v>
      </c>
      <c r="CJ235" s="122" t="s">
        <v>330</v>
      </c>
      <c r="CK235" s="73">
        <v>1</v>
      </c>
      <c r="CL235" s="76">
        <f>COUNT(CK236:CK318)</f>
        <v>53</v>
      </c>
      <c r="CM235" s="11">
        <v>2</v>
      </c>
      <c r="CN235" s="76">
        <f>COUNT(CM236:CM318)</f>
        <v>53</v>
      </c>
      <c r="CO235" s="11">
        <v>3</v>
      </c>
      <c r="CP235" s="76">
        <f>COUNT(CO236:CO318)</f>
        <v>53</v>
      </c>
      <c r="CQ235" s="11">
        <v>4</v>
      </c>
      <c r="CR235" s="76">
        <f>COUNT(CQ236:CQ318)</f>
        <v>53</v>
      </c>
      <c r="CS235" s="85" t="s">
        <v>274</v>
      </c>
      <c r="CT235" s="76">
        <f>COUNT(CS236:CS318)</f>
        <v>53</v>
      </c>
      <c r="CU235" s="85" t="s">
        <v>275</v>
      </c>
      <c r="CV235" s="76">
        <f>COUNT(CU236:CU318)</f>
        <v>53</v>
      </c>
      <c r="CW235" s="85" t="s">
        <v>276</v>
      </c>
      <c r="CX235" s="76">
        <f>COUNT(CW236:CW318)</f>
        <v>53</v>
      </c>
      <c r="CY235" s="21" t="s">
        <v>259</v>
      </c>
      <c r="CZ235" s="21" t="s">
        <v>260</v>
      </c>
      <c r="DA235" s="85" t="s">
        <v>490</v>
      </c>
      <c r="DB235" s="76">
        <f>COUNT(DA236:DA318)</f>
        <v>53</v>
      </c>
      <c r="DC235" s="85" t="s">
        <v>491</v>
      </c>
      <c r="DD235" s="76">
        <f>COUNT(DC236:DC318)</f>
        <v>53</v>
      </c>
      <c r="DE235" s="85" t="s">
        <v>492</v>
      </c>
      <c r="DF235" s="76">
        <f>COUNT(DE236:DE318)</f>
        <v>53</v>
      </c>
      <c r="DG235" s="85" t="s">
        <v>493</v>
      </c>
      <c r="DH235" s="76">
        <f>COUNT(DG236:DG318)</f>
        <v>53</v>
      </c>
      <c r="DI235" s="85" t="s">
        <v>494</v>
      </c>
      <c r="DJ235" s="76">
        <f>COUNT(DI236:DI318)</f>
        <v>53</v>
      </c>
      <c r="DK235" s="85" t="s">
        <v>495</v>
      </c>
      <c r="DL235" s="76">
        <f>COUNT(DK236:DK318)</f>
        <v>53</v>
      </c>
      <c r="DN235" s="32">
        <v>234</v>
      </c>
      <c r="DO235" s="34" t="s">
        <v>682</v>
      </c>
      <c r="DP235" s="38">
        <f t="shared" si="151"/>
        <v>0</v>
      </c>
      <c r="DQ235" s="173" t="str">
        <f t="shared" si="147"/>
        <v>(Heal) 0</v>
      </c>
      <c r="DR235" s="36" t="str">
        <f t="shared" si="148"/>
        <v/>
      </c>
      <c r="DV235" s="176">
        <f t="shared" si="143"/>
        <v>0</v>
      </c>
      <c r="DW235" s="243">
        <f>IF(COUNTIF('Char Sheet p1'!$AP$7:$AP$35,DQ235)=0,0,ROUNDDOWN(SUMIF('Char Sheet p1'!$AP$7:$AP$35,DQ235,'Char Sheet p1'!$AQ$7:$AQ$35)/10,0))</f>
        <v>0</v>
      </c>
      <c r="DX235" s="240">
        <f t="shared" si="149"/>
        <v>0</v>
      </c>
      <c r="DY235" s="36">
        <f t="shared" si="155"/>
        <v>26</v>
      </c>
      <c r="DZ235" s="36" t="str">
        <f t="shared" si="144"/>
        <v/>
      </c>
      <c r="EE235" s="55">
        <f t="shared" si="152"/>
        <v>3</v>
      </c>
    </row>
    <row r="236" spans="1:135">
      <c r="AG236" s="56" t="s">
        <v>172</v>
      </c>
      <c r="AH236" s="57" t="s">
        <v>174</v>
      </c>
      <c r="AI236" s="57"/>
      <c r="AJ236" s="58"/>
      <c r="AK236" s="58">
        <v>1</v>
      </c>
      <c r="AL236" s="58"/>
      <c r="AM236" s="58">
        <v>1</v>
      </c>
      <c r="AN236" s="58">
        <v>1</v>
      </c>
      <c r="AO236" s="59" t="s">
        <v>173</v>
      </c>
      <c r="AP236" s="140"/>
      <c r="AQ236" s="141"/>
      <c r="AR236" s="140"/>
      <c r="AS236" s="141"/>
      <c r="AT236" s="140"/>
      <c r="AU236" s="141"/>
      <c r="AV236" s="140"/>
      <c r="AW236" s="141"/>
      <c r="AX236" s="140"/>
      <c r="AY236" s="141"/>
      <c r="AZ236" s="140"/>
      <c r="BA236" s="141"/>
      <c r="BB236" s="140"/>
      <c r="BC236" s="141"/>
      <c r="BD236" s="140"/>
      <c r="BE236" s="141"/>
      <c r="BF236" s="140"/>
      <c r="BG236" s="141"/>
      <c r="BH236" s="140"/>
      <c r="BI236" s="141"/>
      <c r="BJ236" s="140"/>
      <c r="BK236" s="141"/>
      <c r="BL236" s="140"/>
      <c r="BM236" s="141"/>
      <c r="BN236" s="140"/>
      <c r="BO236" s="141"/>
      <c r="BP236" s="140"/>
      <c r="BQ236" s="141"/>
      <c r="BR236" s="140"/>
      <c r="BS236" s="141"/>
      <c r="BT236" s="140"/>
      <c r="BU236" s="141"/>
      <c r="BV236" s="140"/>
      <c r="BW236" s="141"/>
      <c r="BX236" s="140"/>
      <c r="BY236" s="141"/>
      <c r="BZ236" s="140"/>
      <c r="CA236" s="141"/>
      <c r="CB236" s="129"/>
      <c r="CC236" s="129"/>
      <c r="CD236" s="129"/>
      <c r="CE236" s="129"/>
      <c r="CF236" s="129"/>
      <c r="CG236" s="129"/>
      <c r="CH236" s="129"/>
      <c r="CI236" s="129"/>
      <c r="CJ236" s="129"/>
      <c r="CK236" s="75">
        <f t="shared" ref="CK236:CK299" si="161">IF(OR($AM236=0,AND(COUNTIF(CL$319:CL$325,$AG236)&gt;0,$AJ236&lt;&gt;"y")),"",$AN236)</f>
        <v>1</v>
      </c>
      <c r="CL236" s="51" t="str">
        <f t="shared" ref="CL236:CL267" si="162">IF(AN236&gt;$CL$235,"",INDEX($AG$236:$AG$318,SMALL($CK$236:$CK$318,AN236),1))</f>
        <v>Bastard Born</v>
      </c>
      <c r="CM236" s="75">
        <f t="shared" ref="CM236:CM299" si="163">IF(OR($AM236=0,AND(COUNTIF(CN$319:CN$325,$AG236)&gt;0,$AJ236&lt;&gt;"y")),"",$AN236)</f>
        <v>1</v>
      </c>
      <c r="CN236" s="51" t="str">
        <f>IF($AN236&gt;CN$235,"",INDEX($AG$236:$AG$318,SMALL(CM$236:CM$318,$AN236),1))</f>
        <v>Bastard Born</v>
      </c>
      <c r="CO236" s="75">
        <f t="shared" ref="CO236:CO299" si="164">IF(OR($AM236=0,AND(COUNTIF(CP$319:CP$325,$AG236)&gt;0,$AJ236&lt;&gt;"y")),"",$AN236)</f>
        <v>1</v>
      </c>
      <c r="CP236" s="51" t="str">
        <f t="shared" ref="CP236:CP299" si="165">IF($AN236&gt;CP$235,"",INDEX($AG$236:$AG$318,SMALL(CO$236:CO$318,$AN236),1))</f>
        <v>Bastard Born</v>
      </c>
      <c r="CQ236" s="75">
        <f t="shared" ref="CQ236:CQ299" si="166">IF(OR($AM236=0,AND(COUNTIF(CR$319:CR$325,$AG236)&gt;0,$AJ236&lt;&gt;"y")),"",$AN236)</f>
        <v>1</v>
      </c>
      <c r="CR236" s="51" t="str">
        <f t="shared" ref="CR236:CR267" si="167">IF($AN236&gt;CR$235,"",INDEX($AG$236:$AG$318,SMALL(CQ$236:CQ$318,$AN236),1))</f>
        <v>Bastard Born</v>
      </c>
      <c r="CS236" s="75">
        <f t="shared" ref="CS236:CS299" si="168">IF(OR($AM236=0,AND(COUNTIF(CT$319:CT$325,$AG236)&gt;0,$AJ236&lt;&gt;"y")),"",$AN236)</f>
        <v>1</v>
      </c>
      <c r="CT236" s="51" t="str">
        <f t="shared" ref="CT236:CT267" si="169">IF($AN236&gt;CT$235,"",INDEX($AG$236:$AG$318,SMALL(CS$236:CS$318,$AN236),1))</f>
        <v>Bastard Born</v>
      </c>
      <c r="CU236" s="75">
        <f t="shared" ref="CU236:CU299" si="170">IF(OR($AM236=0,AND(COUNTIF(CV$319:CV$325,$AG236)&gt;0,$AJ236&lt;&gt;"y")),"",$AN236)</f>
        <v>1</v>
      </c>
      <c r="CV236" s="51" t="str">
        <f t="shared" ref="CV236:CV267" si="171">IF($AN236&gt;CV$235,"",INDEX($AG$236:$AG$318,SMALL(CU$236:CU$318,$AN236),1))</f>
        <v>Bastard Born</v>
      </c>
      <c r="CW236" s="75">
        <f t="shared" ref="CW236:CW299" si="172">IF(OR($AM236=0,AND(COUNTIF(CX$319:CX$325,$AG236)&gt;0,$AJ236&lt;&gt;"y")),"",$AN236)</f>
        <v>1</v>
      </c>
      <c r="CX236" s="51" t="str">
        <f t="shared" ref="CX236:CX267" si="173">IF($AN236&gt;CX$235,"",INDEX($AG$236:$AG$318,SMALL(CW$236:CW$318,$AN236),1))</f>
        <v>Bastard Born</v>
      </c>
      <c r="CY236" s="37" t="s">
        <v>277</v>
      </c>
      <c r="CZ236" s="37" t="s">
        <v>197</v>
      </c>
      <c r="DA236" s="75">
        <f t="shared" ref="DA236:DC299" si="174">IF(OR($AM236=0,AND(COUNTIF(DB$319:DB$331,$AG236)&gt;0,$AJ236&lt;&gt;"y")),"",$AN236)</f>
        <v>1</v>
      </c>
      <c r="DB236" s="51" t="str">
        <f t="shared" ref="DB236:DB267" si="175">IF($AN236&gt;DB$235,"",INDEX($AG$236:$AG$318,SMALL(DA$236:DA$318,$AN236),1))</f>
        <v>Bastard Born</v>
      </c>
      <c r="DC236" s="75">
        <f t="shared" si="174"/>
        <v>1</v>
      </c>
      <c r="DD236" s="51" t="str">
        <f t="shared" ref="DD236:DD267" si="176">IF($AN236&gt;DD$235,"",INDEX($AG$236:$AG$318,SMALL(DC$236:DC$318,$AN236),1))</f>
        <v>Bastard Born</v>
      </c>
      <c r="DE236" s="75">
        <f t="shared" ref="DE236:DE267" si="177">IF(OR($AM236=0,AND(COUNTIF(DF$319:DF$331,$AG236)&gt;0,$AJ236&lt;&gt;"y")),"",$AN236)</f>
        <v>1</v>
      </c>
      <c r="DF236" s="51" t="str">
        <f t="shared" ref="DF236:DF267" si="178">IF($AN236&gt;DF$235,"",INDEX($AG$236:$AG$318,SMALL(DE$236:DE$318,$AN236),1))</f>
        <v>Bastard Born</v>
      </c>
      <c r="DG236" s="75">
        <f t="shared" ref="DG236:DG267" si="179">IF(OR($AM236=0,AND(COUNTIF(DH$319:DH$331,$AG236)&gt;0,$AJ236&lt;&gt;"y")),"",$AN236)</f>
        <v>1</v>
      </c>
      <c r="DH236" s="51" t="str">
        <f t="shared" ref="DH236:DH267" si="180">IF($AN236&gt;DH$235,"",INDEX($AG$236:$AG$318,SMALL(DG$236:DG$318,$AN236),1))</f>
        <v>Bastard Born</v>
      </c>
      <c r="DI236" s="75">
        <f t="shared" ref="DI236:DI267" si="181">IF(OR($AM236=0,AND(COUNTIF(DJ$319:DJ$331,$AG236)&gt;0,$AJ236&lt;&gt;"y")),"",$AN236)</f>
        <v>1</v>
      </c>
      <c r="DJ236" s="51" t="str">
        <f t="shared" ref="DJ236:DJ267" si="182">IF($AN236&gt;DJ$235,"",INDEX($AG$236:$AG$318,SMALL(DI$236:DI$318,$AN236),1))</f>
        <v>Bastard Born</v>
      </c>
      <c r="DK236" s="75">
        <f t="shared" ref="DK236:DK267" si="183">IF(OR($AM236=0,AND(COUNTIF(DL$319:DL$331,$AG236)&gt;0,$AJ236&lt;&gt;"y")),"",$AN236)</f>
        <v>1</v>
      </c>
      <c r="DL236" s="51" t="str">
        <f t="shared" ref="DL236:DL267" si="184">IF($AN236&gt;DL$235,"",INDEX($AG$236:$AG$318,SMALL(DK$236:DK$318,$AN236),1))</f>
        <v>Bastard Born</v>
      </c>
      <c r="DN236" s="32">
        <v>235</v>
      </c>
      <c r="DO236" s="34" t="s">
        <v>686</v>
      </c>
      <c r="DP236" s="38" t="str">
        <f t="shared" ref="DP236:DP261" si="185">U2</f>
        <v>Education</v>
      </c>
      <c r="DQ236" s="173" t="str">
        <f t="shared" si="147"/>
        <v>(Know) Education</v>
      </c>
      <c r="DR236" s="36">
        <f t="shared" si="148"/>
        <v>235</v>
      </c>
      <c r="DV236" s="176">
        <f t="shared" si="143"/>
        <v>0</v>
      </c>
      <c r="DW236" s="243">
        <f>IF(COUNTIF('Char Sheet p1'!$AP$7:$AP$35,DQ236)=0,0,ROUNDDOWN(SUMIF('Char Sheet p1'!$AP$7:$AP$35,DQ236,'Char Sheet p1'!$AQ$7:$AQ$35)/10,0))</f>
        <v>0</v>
      </c>
      <c r="DX236" s="240">
        <f t="shared" si="149"/>
        <v>0</v>
      </c>
      <c r="DY236" s="36">
        <v>1</v>
      </c>
      <c r="DZ236" s="36" t="str">
        <f t="shared" si="144"/>
        <v/>
      </c>
      <c r="EE236" s="245">
        <f>'Char Sheet p1'!T6</f>
        <v>2</v>
      </c>
    </row>
    <row r="237" spans="1:135">
      <c r="AG237" s="61" t="s">
        <v>175</v>
      </c>
      <c r="AH237" s="62" t="s">
        <v>174</v>
      </c>
      <c r="AI237" s="62"/>
      <c r="AJ237" s="63"/>
      <c r="AK237" s="63">
        <v>1</v>
      </c>
      <c r="AL237" s="63"/>
      <c r="AM237" s="63">
        <v>1</v>
      </c>
      <c r="AN237" s="63">
        <f>AN236+1</f>
        <v>2</v>
      </c>
      <c r="AO237" s="64" t="s">
        <v>176</v>
      </c>
      <c r="AP237" s="134"/>
      <c r="AQ237" s="47"/>
      <c r="AR237" s="134"/>
      <c r="AS237" s="47"/>
      <c r="AT237" s="134"/>
      <c r="AU237" s="47"/>
      <c r="AV237" s="134"/>
      <c r="AW237" s="47"/>
      <c r="AX237" s="134"/>
      <c r="AY237" s="47"/>
      <c r="AZ237" s="134"/>
      <c r="BA237" s="47"/>
      <c r="BB237" s="134"/>
      <c r="BC237" s="47"/>
      <c r="BD237" s="134"/>
      <c r="BE237" s="47"/>
      <c r="BF237" s="134"/>
      <c r="BG237" s="47"/>
      <c r="BH237" s="134"/>
      <c r="BI237" s="47"/>
      <c r="BJ237" s="134"/>
      <c r="BK237" s="47"/>
      <c r="BL237" s="134"/>
      <c r="BM237" s="47"/>
      <c r="BN237" s="134"/>
      <c r="BO237" s="47"/>
      <c r="BP237" s="134"/>
      <c r="BQ237" s="47"/>
      <c r="BR237" s="134"/>
      <c r="BS237" s="47"/>
      <c r="BT237" s="134"/>
      <c r="BU237" s="47"/>
      <c r="BV237" s="134"/>
      <c r="BW237" s="47"/>
      <c r="BX237" s="134"/>
      <c r="BY237" s="47"/>
      <c r="BZ237" s="134"/>
      <c r="CA237" s="47"/>
      <c r="CB237" s="127"/>
      <c r="CC237" s="127"/>
      <c r="CD237" s="127"/>
      <c r="CE237" s="127"/>
      <c r="CF237" s="127"/>
      <c r="CG237" s="127"/>
      <c r="CH237" s="127"/>
      <c r="CI237" s="127"/>
      <c r="CJ237" s="127"/>
      <c r="CK237" s="77">
        <f t="shared" si="161"/>
        <v>2</v>
      </c>
      <c r="CL237" s="37" t="str">
        <f t="shared" si="162"/>
        <v>Bound to the Bottle</v>
      </c>
      <c r="CM237" s="77">
        <f t="shared" si="163"/>
        <v>2</v>
      </c>
      <c r="CN237" s="37" t="str">
        <f t="shared" ref="CN237:CN300" si="186">IF($AN237&gt;CN$235,"",INDEX($AG$236:$AG$318,SMALL(CM$236:CM$318,$AN237),1))</f>
        <v>Bound to the Bottle</v>
      </c>
      <c r="CO237" s="77">
        <f t="shared" si="164"/>
        <v>2</v>
      </c>
      <c r="CP237" s="37" t="str">
        <f t="shared" si="165"/>
        <v>Bound to the Bottle</v>
      </c>
      <c r="CQ237" s="77">
        <f t="shared" si="166"/>
        <v>2</v>
      </c>
      <c r="CR237" s="37" t="str">
        <f t="shared" si="167"/>
        <v>Bound to the Bottle</v>
      </c>
      <c r="CS237" s="77">
        <f t="shared" si="168"/>
        <v>2</v>
      </c>
      <c r="CT237" s="37" t="str">
        <f t="shared" si="169"/>
        <v>Bound to the Bottle</v>
      </c>
      <c r="CU237" s="77">
        <f t="shared" si="170"/>
        <v>2</v>
      </c>
      <c r="CV237" s="37" t="str">
        <f t="shared" si="171"/>
        <v>Bound to the Bottle</v>
      </c>
      <c r="CW237" s="77">
        <f t="shared" si="172"/>
        <v>2</v>
      </c>
      <c r="CX237" s="37" t="str">
        <f t="shared" si="173"/>
        <v>Bound to the Bottle</v>
      </c>
      <c r="CY237" s="37" t="s">
        <v>279</v>
      </c>
      <c r="CZ237" s="37" t="s">
        <v>277</v>
      </c>
      <c r="DA237" s="77">
        <f t="shared" si="174"/>
        <v>2</v>
      </c>
      <c r="DB237" s="37" t="str">
        <f t="shared" si="175"/>
        <v>Bound to the Bottle</v>
      </c>
      <c r="DC237" s="77">
        <f t="shared" si="174"/>
        <v>2</v>
      </c>
      <c r="DD237" s="37" t="str">
        <f t="shared" si="176"/>
        <v>Bound to the Bottle</v>
      </c>
      <c r="DE237" s="77">
        <f t="shared" si="177"/>
        <v>2</v>
      </c>
      <c r="DF237" s="37" t="str">
        <f t="shared" si="178"/>
        <v>Bound to the Bottle</v>
      </c>
      <c r="DG237" s="77">
        <f t="shared" si="179"/>
        <v>2</v>
      </c>
      <c r="DH237" s="37" t="str">
        <f t="shared" si="180"/>
        <v>Bound to the Bottle</v>
      </c>
      <c r="DI237" s="77">
        <f t="shared" si="181"/>
        <v>2</v>
      </c>
      <c r="DJ237" s="37" t="str">
        <f t="shared" si="182"/>
        <v>Bound to the Bottle</v>
      </c>
      <c r="DK237" s="77">
        <f t="shared" si="183"/>
        <v>2</v>
      </c>
      <c r="DL237" s="37" t="str">
        <f t="shared" si="184"/>
        <v>Bound to the Bottle</v>
      </c>
      <c r="DN237" s="32">
        <v>236</v>
      </c>
      <c r="DO237" s="34" t="s">
        <v>686</v>
      </c>
      <c r="DP237" s="38" t="str">
        <f t="shared" si="185"/>
        <v>Research</v>
      </c>
      <c r="DQ237" s="173" t="str">
        <f t="shared" si="147"/>
        <v>(Know) Research</v>
      </c>
      <c r="DR237" s="36">
        <f t="shared" si="148"/>
        <v>236</v>
      </c>
      <c r="DV237" s="176">
        <f t="shared" si="143"/>
        <v>0</v>
      </c>
      <c r="DW237" s="243">
        <f>IF(COUNTIF('Char Sheet p1'!$AP$7:$AP$35,DQ237)=0,0,ROUNDDOWN(SUMIF('Char Sheet p1'!$AP$7:$AP$35,DQ237,'Char Sheet p1'!$AQ$7:$AQ$35)/10,0))</f>
        <v>0</v>
      </c>
      <c r="DX237" s="240">
        <f t="shared" si="149"/>
        <v>0</v>
      </c>
      <c r="DY237" s="36">
        <v>2</v>
      </c>
      <c r="DZ237" s="36" t="str">
        <f t="shared" si="144"/>
        <v/>
      </c>
      <c r="EE237" s="36">
        <f>EE236</f>
        <v>2</v>
      </c>
    </row>
    <row r="238" spans="1:135">
      <c r="AG238" s="61" t="s">
        <v>177</v>
      </c>
      <c r="AH238" s="62" t="s">
        <v>174</v>
      </c>
      <c r="AI238" s="62"/>
      <c r="AJ238" s="63"/>
      <c r="AK238" s="63">
        <v>1</v>
      </c>
      <c r="AL238" s="63"/>
      <c r="AM238" s="63">
        <v>1</v>
      </c>
      <c r="AN238" s="63">
        <f t="shared" ref="AN238:AN301" si="187">AN237+1</f>
        <v>3</v>
      </c>
      <c r="AO238" s="64" t="s">
        <v>178</v>
      </c>
      <c r="AP238" s="134"/>
      <c r="AQ238" s="47"/>
      <c r="AR238" s="134"/>
      <c r="AS238" s="47"/>
      <c r="AT238" s="134"/>
      <c r="AU238" s="47"/>
      <c r="AV238" s="134"/>
      <c r="AW238" s="47"/>
      <c r="AX238" s="134"/>
      <c r="AY238" s="47"/>
      <c r="AZ238" s="134"/>
      <c r="BA238" s="47"/>
      <c r="BB238" s="134"/>
      <c r="BC238" s="47"/>
      <c r="BD238" s="134"/>
      <c r="BE238" s="47"/>
      <c r="BF238" s="134"/>
      <c r="BG238" s="47"/>
      <c r="BH238" s="134"/>
      <c r="BI238" s="47"/>
      <c r="BJ238" s="134"/>
      <c r="BK238" s="47"/>
      <c r="BL238" s="134"/>
      <c r="BM238" s="47"/>
      <c r="BN238" s="134"/>
      <c r="BO238" s="47"/>
      <c r="BP238" s="134"/>
      <c r="BQ238" s="47"/>
      <c r="BR238" s="134"/>
      <c r="BS238" s="47"/>
      <c r="BT238" s="134"/>
      <c r="BU238" s="47"/>
      <c r="BV238" s="134"/>
      <c r="BW238" s="47"/>
      <c r="BX238" s="134"/>
      <c r="BY238" s="47"/>
      <c r="BZ238" s="134"/>
      <c r="CA238" s="47"/>
      <c r="CB238" s="127"/>
      <c r="CC238" s="127"/>
      <c r="CD238" s="127"/>
      <c r="CE238" s="127"/>
      <c r="CF238" s="127">
        <v>-2</v>
      </c>
      <c r="CG238" s="127"/>
      <c r="CH238" s="127"/>
      <c r="CI238" s="127"/>
      <c r="CJ238" s="127"/>
      <c r="CK238" s="77">
        <f t="shared" si="161"/>
        <v>3</v>
      </c>
      <c r="CL238" s="37" t="str">
        <f t="shared" si="162"/>
        <v>Childhood Disease</v>
      </c>
      <c r="CM238" s="77">
        <f t="shared" si="163"/>
        <v>3</v>
      </c>
      <c r="CN238" s="37" t="str">
        <f t="shared" si="186"/>
        <v>Childhood Disease</v>
      </c>
      <c r="CO238" s="77">
        <f t="shared" si="164"/>
        <v>3</v>
      </c>
      <c r="CP238" s="37" t="str">
        <f t="shared" si="165"/>
        <v>Childhood Disease</v>
      </c>
      <c r="CQ238" s="77">
        <f t="shared" si="166"/>
        <v>3</v>
      </c>
      <c r="CR238" s="37" t="str">
        <f t="shared" si="167"/>
        <v>Childhood Disease</v>
      </c>
      <c r="CS238" s="77">
        <f t="shared" si="168"/>
        <v>3</v>
      </c>
      <c r="CT238" s="37" t="str">
        <f t="shared" si="169"/>
        <v>Childhood Disease</v>
      </c>
      <c r="CU238" s="77">
        <f t="shared" si="170"/>
        <v>3</v>
      </c>
      <c r="CV238" s="37" t="str">
        <f t="shared" si="171"/>
        <v>Childhood Disease</v>
      </c>
      <c r="CW238" s="77">
        <f t="shared" si="172"/>
        <v>3</v>
      </c>
      <c r="CX238" s="37" t="str">
        <f t="shared" si="173"/>
        <v>Childhood Disease</v>
      </c>
      <c r="CY238" s="49" t="s">
        <v>283</v>
      </c>
      <c r="CZ238" s="37" t="s">
        <v>279</v>
      </c>
      <c r="DA238" s="77">
        <f t="shared" si="174"/>
        <v>3</v>
      </c>
      <c r="DB238" s="37" t="str">
        <f t="shared" si="175"/>
        <v>Childhood Disease</v>
      </c>
      <c r="DC238" s="77">
        <f t="shared" si="174"/>
        <v>3</v>
      </c>
      <c r="DD238" s="37" t="str">
        <f t="shared" si="176"/>
        <v>Childhood Disease</v>
      </c>
      <c r="DE238" s="77">
        <f t="shared" si="177"/>
        <v>3</v>
      </c>
      <c r="DF238" s="37" t="str">
        <f t="shared" si="178"/>
        <v>Childhood Disease</v>
      </c>
      <c r="DG238" s="77">
        <f t="shared" si="179"/>
        <v>3</v>
      </c>
      <c r="DH238" s="37" t="str">
        <f t="shared" si="180"/>
        <v>Childhood Disease</v>
      </c>
      <c r="DI238" s="77">
        <f t="shared" si="181"/>
        <v>3</v>
      </c>
      <c r="DJ238" s="37" t="str">
        <f t="shared" si="182"/>
        <v>Childhood Disease</v>
      </c>
      <c r="DK238" s="77">
        <f t="shared" si="183"/>
        <v>3</v>
      </c>
      <c r="DL238" s="37" t="str">
        <f t="shared" si="184"/>
        <v>Childhood Disease</v>
      </c>
      <c r="DN238" s="32">
        <v>237</v>
      </c>
      <c r="DO238" s="34" t="s">
        <v>686</v>
      </c>
      <c r="DP238" s="38" t="str">
        <f t="shared" si="185"/>
        <v>Streetwise</v>
      </c>
      <c r="DQ238" s="173" t="str">
        <f t="shared" si="147"/>
        <v>(Know) Streetwise</v>
      </c>
      <c r="DR238" s="36">
        <f t="shared" si="148"/>
        <v>237</v>
      </c>
      <c r="DV238" s="176">
        <f t="shared" si="143"/>
        <v>0</v>
      </c>
      <c r="DW238" s="243">
        <f>IF(COUNTIF('Char Sheet p1'!$AP$7:$AP$35,DQ238)=0,0,ROUNDDOWN(SUMIF('Char Sheet p1'!$AP$7:$AP$35,DQ238,'Char Sheet p1'!$AQ$7:$AQ$35)/10,0))</f>
        <v>0</v>
      </c>
      <c r="DX238" s="240">
        <f t="shared" si="149"/>
        <v>0</v>
      </c>
      <c r="DY238" s="36">
        <v>3</v>
      </c>
      <c r="DZ238" s="36" t="str">
        <f t="shared" si="144"/>
        <v/>
      </c>
      <c r="EE238" s="36">
        <f t="shared" ref="EE238:EE261" si="188">EE237</f>
        <v>2</v>
      </c>
    </row>
    <row r="239" spans="1:135">
      <c r="AG239" s="61" t="s">
        <v>179</v>
      </c>
      <c r="AH239" s="62" t="s">
        <v>174</v>
      </c>
      <c r="AI239" s="62"/>
      <c r="AJ239" s="63"/>
      <c r="AK239" s="63">
        <v>1</v>
      </c>
      <c r="AL239" s="63"/>
      <c r="AM239" s="63">
        <v>1</v>
      </c>
      <c r="AN239" s="63">
        <f t="shared" si="187"/>
        <v>4</v>
      </c>
      <c r="AO239" s="64" t="s">
        <v>180</v>
      </c>
      <c r="AP239" s="134"/>
      <c r="AQ239" s="47"/>
      <c r="AR239" s="134"/>
      <c r="AS239" s="47"/>
      <c r="AT239" s="134"/>
      <c r="AU239" s="47"/>
      <c r="AV239" s="134"/>
      <c r="AW239" s="47"/>
      <c r="AX239" s="134"/>
      <c r="AY239" s="47"/>
      <c r="AZ239" s="134"/>
      <c r="BA239" s="47"/>
      <c r="BB239" s="134"/>
      <c r="BC239" s="47"/>
      <c r="BD239" s="134"/>
      <c r="BE239" s="47"/>
      <c r="BF239" s="134"/>
      <c r="BG239" s="47"/>
      <c r="BH239" s="134"/>
      <c r="BI239" s="47"/>
      <c r="BJ239" s="134"/>
      <c r="BK239" s="47"/>
      <c r="BL239" s="134"/>
      <c r="BM239" s="47"/>
      <c r="BN239" s="134"/>
      <c r="BO239" s="47"/>
      <c r="BP239" s="134"/>
      <c r="BQ239" s="47"/>
      <c r="BR239" s="134"/>
      <c r="BS239" s="47"/>
      <c r="BT239" s="134"/>
      <c r="BU239" s="47"/>
      <c r="BV239" s="134"/>
      <c r="BW239" s="47"/>
      <c r="BX239" s="134"/>
      <c r="BY239" s="47"/>
      <c r="BZ239" s="134"/>
      <c r="CA239" s="47"/>
      <c r="CB239" s="127"/>
      <c r="CC239" s="127"/>
      <c r="CD239" s="127"/>
      <c r="CE239" s="127"/>
      <c r="CF239" s="127"/>
      <c r="CG239" s="127"/>
      <c r="CH239" s="127"/>
      <c r="CI239" s="127"/>
      <c r="CJ239" s="127"/>
      <c r="CK239" s="77">
        <f t="shared" si="161"/>
        <v>4</v>
      </c>
      <c r="CL239" s="37" t="str">
        <f t="shared" si="162"/>
        <v>Craven</v>
      </c>
      <c r="CM239" s="77">
        <f t="shared" si="163"/>
        <v>4</v>
      </c>
      <c r="CN239" s="37" t="str">
        <f t="shared" si="186"/>
        <v>Craven</v>
      </c>
      <c r="CO239" s="77">
        <f t="shared" si="164"/>
        <v>4</v>
      </c>
      <c r="CP239" s="37" t="str">
        <f t="shared" si="165"/>
        <v>Craven</v>
      </c>
      <c r="CQ239" s="77">
        <f t="shared" si="166"/>
        <v>4</v>
      </c>
      <c r="CR239" s="37" t="str">
        <f t="shared" si="167"/>
        <v>Craven</v>
      </c>
      <c r="CS239" s="77">
        <f t="shared" si="168"/>
        <v>4</v>
      </c>
      <c r="CT239" s="37" t="str">
        <f t="shared" si="169"/>
        <v>Craven</v>
      </c>
      <c r="CU239" s="77">
        <f t="shared" si="170"/>
        <v>4</v>
      </c>
      <c r="CV239" s="37" t="str">
        <f t="shared" si="171"/>
        <v>Craven</v>
      </c>
      <c r="CW239" s="77">
        <f t="shared" si="172"/>
        <v>4</v>
      </c>
      <c r="CX239" s="37" t="str">
        <f t="shared" si="173"/>
        <v>Craven</v>
      </c>
      <c r="CY239" s="16" t="str">
        <f>"Tables!"&amp;ADDRESS(ROW($CY$236),COLUMN())&amp;":"&amp;ADDRESS(ROW(CY238),COLUMN())</f>
        <v>Tables!$CY$236:$CY$238</v>
      </c>
      <c r="CZ239" s="37" t="s">
        <v>280</v>
      </c>
      <c r="DA239" s="77">
        <f t="shared" si="174"/>
        <v>4</v>
      </c>
      <c r="DB239" s="37" t="str">
        <f t="shared" si="175"/>
        <v>Craven</v>
      </c>
      <c r="DC239" s="77">
        <f t="shared" si="174"/>
        <v>4</v>
      </c>
      <c r="DD239" s="37" t="str">
        <f t="shared" si="176"/>
        <v>Craven</v>
      </c>
      <c r="DE239" s="77">
        <f t="shared" si="177"/>
        <v>4</v>
      </c>
      <c r="DF239" s="37" t="str">
        <f t="shared" si="178"/>
        <v>Craven</v>
      </c>
      <c r="DG239" s="77">
        <f t="shared" si="179"/>
        <v>4</v>
      </c>
      <c r="DH239" s="37" t="str">
        <f t="shared" si="180"/>
        <v>Craven</v>
      </c>
      <c r="DI239" s="77">
        <f t="shared" si="181"/>
        <v>4</v>
      </c>
      <c r="DJ239" s="37" t="str">
        <f t="shared" si="182"/>
        <v>Craven</v>
      </c>
      <c r="DK239" s="77">
        <f t="shared" si="183"/>
        <v>4</v>
      </c>
      <c r="DL239" s="37" t="str">
        <f t="shared" si="184"/>
        <v>Craven</v>
      </c>
      <c r="DN239" s="32">
        <v>238</v>
      </c>
      <c r="DO239" s="34" t="s">
        <v>686</v>
      </c>
      <c r="DP239" s="38">
        <f t="shared" si="185"/>
        <v>0</v>
      </c>
      <c r="DQ239" s="173" t="str">
        <f t="shared" si="147"/>
        <v>(Know) 0</v>
      </c>
      <c r="DR239" s="36" t="str">
        <f t="shared" si="148"/>
        <v/>
      </c>
      <c r="DV239" s="176">
        <f t="shared" si="143"/>
        <v>0</v>
      </c>
      <c r="DW239" s="243">
        <f>IF(COUNTIF('Char Sheet p1'!$AP$7:$AP$35,DQ239)=0,0,ROUNDDOWN(SUMIF('Char Sheet p1'!$AP$7:$AP$35,DQ239,'Char Sheet p1'!$AQ$7:$AQ$35)/10,0))</f>
        <v>0</v>
      </c>
      <c r="DX239" s="240">
        <f t="shared" si="149"/>
        <v>0</v>
      </c>
      <c r="DY239" s="36">
        <v>4</v>
      </c>
      <c r="DZ239" s="36" t="str">
        <f t="shared" si="144"/>
        <v/>
      </c>
      <c r="EE239" s="36">
        <f t="shared" si="188"/>
        <v>2</v>
      </c>
    </row>
    <row r="240" spans="1:135">
      <c r="AG240" s="61" t="s">
        <v>181</v>
      </c>
      <c r="AH240" s="62" t="s">
        <v>174</v>
      </c>
      <c r="AI240" s="62"/>
      <c r="AJ240" s="63"/>
      <c r="AK240" s="63">
        <v>1</v>
      </c>
      <c r="AL240" s="63"/>
      <c r="AM240" s="63">
        <v>1</v>
      </c>
      <c r="AN240" s="63">
        <f t="shared" si="187"/>
        <v>5</v>
      </c>
      <c r="AO240" s="64" t="s">
        <v>182</v>
      </c>
      <c r="AP240" s="134"/>
      <c r="AQ240" s="47"/>
      <c r="AR240" s="134"/>
      <c r="AS240" s="47"/>
      <c r="AT240" s="134"/>
      <c r="AU240" s="47"/>
      <c r="AV240" s="134"/>
      <c r="AW240" s="47"/>
      <c r="AX240" s="134"/>
      <c r="AY240" s="47"/>
      <c r="AZ240" s="134"/>
      <c r="BA240" s="47"/>
      <c r="BB240" s="134"/>
      <c r="BC240" s="47"/>
      <c r="BD240" s="134"/>
      <c r="BE240" s="47"/>
      <c r="BF240" s="134"/>
      <c r="BG240" s="47"/>
      <c r="BH240" s="134"/>
      <c r="BI240" s="47"/>
      <c r="BJ240" s="134"/>
      <c r="BK240" s="47"/>
      <c r="BL240" s="134"/>
      <c r="BM240" s="47"/>
      <c r="BN240" s="134"/>
      <c r="BO240" s="47"/>
      <c r="BP240" s="134"/>
      <c r="BQ240" s="47"/>
      <c r="BR240" s="134"/>
      <c r="BS240" s="47"/>
      <c r="BT240" s="134"/>
      <c r="BU240" s="47"/>
      <c r="BV240" s="134"/>
      <c r="BW240" s="47"/>
      <c r="BX240" s="134"/>
      <c r="BY240" s="47"/>
      <c r="BZ240" s="134"/>
      <c r="CA240" s="47"/>
      <c r="CB240" s="127"/>
      <c r="CC240" s="127"/>
      <c r="CD240" s="127"/>
      <c r="CE240" s="127"/>
      <c r="CF240" s="127"/>
      <c r="CG240" s="127"/>
      <c r="CH240" s="127"/>
      <c r="CI240" s="127">
        <v>-2</v>
      </c>
      <c r="CJ240" s="127"/>
      <c r="CK240" s="77">
        <f t="shared" si="161"/>
        <v>5</v>
      </c>
      <c r="CL240" s="37" t="str">
        <f t="shared" si="162"/>
        <v>Crippled</v>
      </c>
      <c r="CM240" s="77">
        <f t="shared" si="163"/>
        <v>5</v>
      </c>
      <c r="CN240" s="37" t="str">
        <f t="shared" si="186"/>
        <v>Crippled</v>
      </c>
      <c r="CO240" s="77">
        <f t="shared" si="164"/>
        <v>5</v>
      </c>
      <c r="CP240" s="37" t="str">
        <f t="shared" si="165"/>
        <v>Crippled</v>
      </c>
      <c r="CQ240" s="77">
        <f t="shared" si="166"/>
        <v>5</v>
      </c>
      <c r="CR240" s="37" t="str">
        <f t="shared" si="167"/>
        <v>Crippled</v>
      </c>
      <c r="CS240" s="77">
        <f t="shared" si="168"/>
        <v>5</v>
      </c>
      <c r="CT240" s="37" t="str">
        <f t="shared" si="169"/>
        <v>Crippled</v>
      </c>
      <c r="CU240" s="77">
        <f t="shared" si="170"/>
        <v>5</v>
      </c>
      <c r="CV240" s="37" t="str">
        <f t="shared" si="171"/>
        <v>Crippled</v>
      </c>
      <c r="CW240" s="77">
        <f t="shared" si="172"/>
        <v>5</v>
      </c>
      <c r="CX240" s="37" t="str">
        <f t="shared" si="173"/>
        <v>Crippled</v>
      </c>
      <c r="CY240" s="5"/>
      <c r="CZ240" s="37" t="s">
        <v>281</v>
      </c>
      <c r="DA240" s="77">
        <f t="shared" si="174"/>
        <v>5</v>
      </c>
      <c r="DB240" s="37" t="str">
        <f t="shared" si="175"/>
        <v>Crippled</v>
      </c>
      <c r="DC240" s="77">
        <f t="shared" si="174"/>
        <v>5</v>
      </c>
      <c r="DD240" s="37" t="str">
        <f t="shared" si="176"/>
        <v>Crippled</v>
      </c>
      <c r="DE240" s="77">
        <f t="shared" si="177"/>
        <v>5</v>
      </c>
      <c r="DF240" s="37" t="str">
        <f t="shared" si="178"/>
        <v>Crippled</v>
      </c>
      <c r="DG240" s="77">
        <f t="shared" si="179"/>
        <v>5</v>
      </c>
      <c r="DH240" s="37" t="str">
        <f t="shared" si="180"/>
        <v>Crippled</v>
      </c>
      <c r="DI240" s="77">
        <f t="shared" si="181"/>
        <v>5</v>
      </c>
      <c r="DJ240" s="37" t="str">
        <f t="shared" si="182"/>
        <v>Crippled</v>
      </c>
      <c r="DK240" s="77">
        <f t="shared" si="183"/>
        <v>5</v>
      </c>
      <c r="DL240" s="37" t="str">
        <f t="shared" si="184"/>
        <v>Crippled</v>
      </c>
      <c r="DN240" s="32">
        <v>239</v>
      </c>
      <c r="DO240" s="34" t="s">
        <v>686</v>
      </c>
      <c r="DP240" s="38">
        <f t="shared" si="185"/>
        <v>0</v>
      </c>
      <c r="DQ240" s="173" t="str">
        <f t="shared" si="147"/>
        <v>(Know) 0</v>
      </c>
      <c r="DR240" s="36" t="str">
        <f t="shared" si="148"/>
        <v/>
      </c>
      <c r="DV240" s="176">
        <f t="shared" si="143"/>
        <v>0</v>
      </c>
      <c r="DW240" s="243">
        <f>IF(COUNTIF('Char Sheet p1'!$AP$7:$AP$35,DQ240)=0,0,ROUNDDOWN(SUMIF('Char Sheet p1'!$AP$7:$AP$35,DQ240,'Char Sheet p1'!$AQ$7:$AQ$35)/10,0))</f>
        <v>0</v>
      </c>
      <c r="DX240" s="240">
        <f t="shared" si="149"/>
        <v>0</v>
      </c>
      <c r="DY240" s="36">
        <f>DY239+1</f>
        <v>5</v>
      </c>
      <c r="DZ240" s="36" t="str">
        <f t="shared" si="144"/>
        <v/>
      </c>
      <c r="EE240" s="36">
        <f t="shared" si="188"/>
        <v>2</v>
      </c>
    </row>
    <row r="241" spans="33:135">
      <c r="AG241" s="61" t="s">
        <v>183</v>
      </c>
      <c r="AH241" s="62" t="s">
        <v>174</v>
      </c>
      <c r="AI241" s="62"/>
      <c r="AJ241" s="63"/>
      <c r="AK241" s="63">
        <v>1</v>
      </c>
      <c r="AL241" s="63"/>
      <c r="AM241" s="63">
        <v>1</v>
      </c>
      <c r="AN241" s="63">
        <f t="shared" si="187"/>
        <v>6</v>
      </c>
      <c r="AO241" s="64" t="s">
        <v>184</v>
      </c>
      <c r="AP241" s="134"/>
      <c r="AQ241" s="47"/>
      <c r="AR241" s="134"/>
      <c r="AS241" s="47"/>
      <c r="AT241" s="134"/>
      <c r="AU241" s="47"/>
      <c r="AV241" s="134"/>
      <c r="AW241" s="47"/>
      <c r="AX241" s="134"/>
      <c r="AY241" s="47"/>
      <c r="AZ241" s="134"/>
      <c r="BA241" s="47"/>
      <c r="BB241" s="134"/>
      <c r="BC241" s="47"/>
      <c r="BD241" s="134"/>
      <c r="BE241" s="47"/>
      <c r="BF241" s="134"/>
      <c r="BG241" s="47"/>
      <c r="BH241" s="134"/>
      <c r="BI241" s="47"/>
      <c r="BJ241" s="134"/>
      <c r="BK241" s="47"/>
      <c r="BL241" s="134"/>
      <c r="BM241" s="47"/>
      <c r="BN241" s="134"/>
      <c r="BO241" s="47"/>
      <c r="BP241" s="134"/>
      <c r="BQ241" s="47"/>
      <c r="BR241" s="134"/>
      <c r="BS241" s="47"/>
      <c r="BT241" s="134"/>
      <c r="BU241" s="47"/>
      <c r="BV241" s="134"/>
      <c r="BW241" s="47"/>
      <c r="BX241" s="134"/>
      <c r="BY241" s="47"/>
      <c r="BZ241" s="134"/>
      <c r="CA241" s="47"/>
      <c r="CB241" s="127"/>
      <c r="CC241" s="127"/>
      <c r="CD241" s="127"/>
      <c r="CE241" s="127"/>
      <c r="CF241" s="127"/>
      <c r="CG241" s="127"/>
      <c r="CH241" s="127"/>
      <c r="CI241" s="127"/>
      <c r="CJ241" s="127"/>
      <c r="CK241" s="77">
        <f t="shared" si="161"/>
        <v>6</v>
      </c>
      <c r="CL241" s="37" t="str">
        <f t="shared" si="162"/>
        <v>Cruel Insanity</v>
      </c>
      <c r="CM241" s="77">
        <f t="shared" si="163"/>
        <v>6</v>
      </c>
      <c r="CN241" s="37" t="str">
        <f t="shared" si="186"/>
        <v>Cruel Insanity</v>
      </c>
      <c r="CO241" s="77">
        <f t="shared" si="164"/>
        <v>6</v>
      </c>
      <c r="CP241" s="37" t="str">
        <f t="shared" si="165"/>
        <v>Cruel Insanity</v>
      </c>
      <c r="CQ241" s="77">
        <f t="shared" si="166"/>
        <v>6</v>
      </c>
      <c r="CR241" s="37" t="str">
        <f t="shared" si="167"/>
        <v>Cruel Insanity</v>
      </c>
      <c r="CS241" s="77">
        <f t="shared" si="168"/>
        <v>6</v>
      </c>
      <c r="CT241" s="37" t="str">
        <f t="shared" si="169"/>
        <v>Cruel Insanity</v>
      </c>
      <c r="CU241" s="77">
        <f t="shared" si="170"/>
        <v>6</v>
      </c>
      <c r="CV241" s="37" t="str">
        <f t="shared" si="171"/>
        <v>Cruel Insanity</v>
      </c>
      <c r="CW241" s="77">
        <f t="shared" si="172"/>
        <v>6</v>
      </c>
      <c r="CX241" s="37" t="str">
        <f t="shared" si="173"/>
        <v>Cruel Insanity</v>
      </c>
      <c r="CZ241" s="37" t="s">
        <v>283</v>
      </c>
      <c r="DA241" s="77">
        <f t="shared" si="174"/>
        <v>6</v>
      </c>
      <c r="DB241" s="37" t="str">
        <f t="shared" si="175"/>
        <v>Cruel Insanity</v>
      </c>
      <c r="DC241" s="77">
        <f t="shared" si="174"/>
        <v>6</v>
      </c>
      <c r="DD241" s="37" t="str">
        <f t="shared" si="176"/>
        <v>Cruel Insanity</v>
      </c>
      <c r="DE241" s="77">
        <f t="shared" si="177"/>
        <v>6</v>
      </c>
      <c r="DF241" s="37" t="str">
        <f t="shared" si="178"/>
        <v>Cruel Insanity</v>
      </c>
      <c r="DG241" s="77">
        <f t="shared" si="179"/>
        <v>6</v>
      </c>
      <c r="DH241" s="37" t="str">
        <f t="shared" si="180"/>
        <v>Cruel Insanity</v>
      </c>
      <c r="DI241" s="77">
        <f t="shared" si="181"/>
        <v>6</v>
      </c>
      <c r="DJ241" s="37" t="str">
        <f t="shared" si="182"/>
        <v>Cruel Insanity</v>
      </c>
      <c r="DK241" s="77">
        <f t="shared" si="183"/>
        <v>6</v>
      </c>
      <c r="DL241" s="37" t="str">
        <f t="shared" si="184"/>
        <v>Cruel Insanity</v>
      </c>
      <c r="DN241" s="32">
        <v>240</v>
      </c>
      <c r="DO241" s="34" t="s">
        <v>686</v>
      </c>
      <c r="DP241" s="38">
        <f t="shared" si="185"/>
        <v>0</v>
      </c>
      <c r="DQ241" s="173" t="str">
        <f t="shared" si="147"/>
        <v>(Know) 0</v>
      </c>
      <c r="DR241" s="36" t="str">
        <f t="shared" si="148"/>
        <v/>
      </c>
      <c r="DV241" s="176">
        <f t="shared" si="143"/>
        <v>0</v>
      </c>
      <c r="DW241" s="243">
        <f>IF(COUNTIF('Char Sheet p1'!$AP$7:$AP$35,DQ241)=0,0,ROUNDDOWN(SUMIF('Char Sheet p1'!$AP$7:$AP$35,DQ241,'Char Sheet p1'!$AQ$7:$AQ$35)/10,0))</f>
        <v>0</v>
      </c>
      <c r="DX241" s="240">
        <f t="shared" si="149"/>
        <v>0</v>
      </c>
      <c r="DY241" s="36">
        <f t="shared" ref="DY241:DY261" si="189">DY240+1</f>
        <v>6</v>
      </c>
      <c r="DZ241" s="36" t="str">
        <f t="shared" si="144"/>
        <v/>
      </c>
      <c r="EE241" s="36">
        <f t="shared" si="188"/>
        <v>2</v>
      </c>
    </row>
    <row r="242" spans="33:135">
      <c r="AG242" s="61" t="s">
        <v>185</v>
      </c>
      <c r="AH242" s="62" t="s">
        <v>174</v>
      </c>
      <c r="AI242" s="62"/>
      <c r="AJ242" s="63"/>
      <c r="AK242" s="63">
        <v>1</v>
      </c>
      <c r="AL242" s="63"/>
      <c r="AM242" s="63">
        <v>1</v>
      </c>
      <c r="AN242" s="63">
        <f t="shared" si="187"/>
        <v>7</v>
      </c>
      <c r="AO242" s="64" t="s">
        <v>186</v>
      </c>
      <c r="AP242" s="134"/>
      <c r="AQ242" s="47"/>
      <c r="AR242" s="134"/>
      <c r="AS242" s="47"/>
      <c r="AT242" s="134"/>
      <c r="AU242" s="47"/>
      <c r="AV242" s="134"/>
      <c r="AW242" s="47"/>
      <c r="AX242" s="134"/>
      <c r="AY242" s="47"/>
      <c r="AZ242" s="134"/>
      <c r="BA242" s="47"/>
      <c r="BB242" s="134"/>
      <c r="BC242" s="47"/>
      <c r="BD242" s="134"/>
      <c r="BE242" s="47"/>
      <c r="BF242" s="134"/>
      <c r="BG242" s="47"/>
      <c r="BH242" s="134"/>
      <c r="BI242" s="47"/>
      <c r="BJ242" s="134"/>
      <c r="BK242" s="47"/>
      <c r="BL242" s="134"/>
      <c r="BM242" s="47"/>
      <c r="BN242" s="134"/>
      <c r="BO242" s="47"/>
      <c r="BP242" s="134"/>
      <c r="BQ242" s="47"/>
      <c r="BR242" s="134"/>
      <c r="BS242" s="47"/>
      <c r="BT242" s="134"/>
      <c r="BU242" s="47"/>
      <c r="BV242" s="134"/>
      <c r="BW242" s="47"/>
      <c r="BX242" s="134"/>
      <c r="BY242" s="47"/>
      <c r="BZ242" s="134"/>
      <c r="CA242" s="47"/>
      <c r="CB242" s="127"/>
      <c r="CC242" s="127"/>
      <c r="CD242" s="127"/>
      <c r="CE242" s="127"/>
      <c r="CF242" s="127"/>
      <c r="CG242" s="127"/>
      <c r="CH242" s="127"/>
      <c r="CI242" s="127"/>
      <c r="CJ242" s="127"/>
      <c r="CK242" s="77">
        <f t="shared" si="161"/>
        <v>7</v>
      </c>
      <c r="CL242" s="37" t="str">
        <f t="shared" si="162"/>
        <v>Cursed</v>
      </c>
      <c r="CM242" s="77">
        <f t="shared" si="163"/>
        <v>7</v>
      </c>
      <c r="CN242" s="37" t="str">
        <f t="shared" si="186"/>
        <v>Cursed</v>
      </c>
      <c r="CO242" s="77">
        <f t="shared" si="164"/>
        <v>7</v>
      </c>
      <c r="CP242" s="37" t="str">
        <f t="shared" si="165"/>
        <v>Cursed</v>
      </c>
      <c r="CQ242" s="77">
        <f t="shared" si="166"/>
        <v>7</v>
      </c>
      <c r="CR242" s="37" t="str">
        <f t="shared" si="167"/>
        <v>Cursed</v>
      </c>
      <c r="CS242" s="77">
        <f t="shared" si="168"/>
        <v>7</v>
      </c>
      <c r="CT242" s="37" t="str">
        <f t="shared" si="169"/>
        <v>Cursed</v>
      </c>
      <c r="CU242" s="77">
        <f t="shared" si="170"/>
        <v>7</v>
      </c>
      <c r="CV242" s="37" t="str">
        <f t="shared" si="171"/>
        <v>Cursed</v>
      </c>
      <c r="CW242" s="77">
        <f t="shared" si="172"/>
        <v>7</v>
      </c>
      <c r="CX242" s="37" t="str">
        <f t="shared" si="173"/>
        <v>Cursed</v>
      </c>
      <c r="CZ242" s="37" t="s">
        <v>284</v>
      </c>
      <c r="DA242" s="77">
        <f t="shared" si="174"/>
        <v>7</v>
      </c>
      <c r="DB242" s="37" t="str">
        <f t="shared" si="175"/>
        <v>Cursed</v>
      </c>
      <c r="DC242" s="77">
        <f t="shared" si="174"/>
        <v>7</v>
      </c>
      <c r="DD242" s="37" t="str">
        <f t="shared" si="176"/>
        <v>Cursed</v>
      </c>
      <c r="DE242" s="77">
        <f t="shared" si="177"/>
        <v>7</v>
      </c>
      <c r="DF242" s="37" t="str">
        <f t="shared" si="178"/>
        <v>Cursed</v>
      </c>
      <c r="DG242" s="77">
        <f t="shared" si="179"/>
        <v>7</v>
      </c>
      <c r="DH242" s="37" t="str">
        <f t="shared" si="180"/>
        <v>Cursed</v>
      </c>
      <c r="DI242" s="77">
        <f t="shared" si="181"/>
        <v>7</v>
      </c>
      <c r="DJ242" s="37" t="str">
        <f t="shared" si="182"/>
        <v>Cursed</v>
      </c>
      <c r="DK242" s="77">
        <f t="shared" si="183"/>
        <v>7</v>
      </c>
      <c r="DL242" s="37" t="str">
        <f t="shared" si="184"/>
        <v>Cursed</v>
      </c>
      <c r="DN242" s="32">
        <v>241</v>
      </c>
      <c r="DO242" s="34" t="s">
        <v>686</v>
      </c>
      <c r="DP242" s="38">
        <f t="shared" si="185"/>
        <v>0</v>
      </c>
      <c r="DQ242" s="173" t="str">
        <f t="shared" si="147"/>
        <v>(Know) 0</v>
      </c>
      <c r="DR242" s="36" t="str">
        <f t="shared" si="148"/>
        <v/>
      </c>
      <c r="DV242" s="176">
        <f t="shared" si="143"/>
        <v>0</v>
      </c>
      <c r="DW242" s="243">
        <f>IF(COUNTIF('Char Sheet p1'!$AP$7:$AP$35,DQ242)=0,0,ROUNDDOWN(SUMIF('Char Sheet p1'!$AP$7:$AP$35,DQ242,'Char Sheet p1'!$AQ$7:$AQ$35)/10,0))</f>
        <v>0</v>
      </c>
      <c r="DX242" s="240">
        <f t="shared" si="149"/>
        <v>0</v>
      </c>
      <c r="DY242" s="36">
        <f t="shared" si="189"/>
        <v>7</v>
      </c>
      <c r="DZ242" s="36" t="str">
        <f t="shared" si="144"/>
        <v/>
      </c>
      <c r="EE242" s="36">
        <f t="shared" si="188"/>
        <v>2</v>
      </c>
    </row>
    <row r="243" spans="33:135">
      <c r="AG243" s="61" t="s">
        <v>187</v>
      </c>
      <c r="AH243" s="62" t="s">
        <v>174</v>
      </c>
      <c r="AI243" s="62"/>
      <c r="AJ243" s="63"/>
      <c r="AK243" s="63">
        <v>1</v>
      </c>
      <c r="AL243" s="63"/>
      <c r="AM243" s="63">
        <v>1</v>
      </c>
      <c r="AN243" s="63">
        <f t="shared" si="187"/>
        <v>8</v>
      </c>
      <c r="AO243" s="64" t="s">
        <v>188</v>
      </c>
      <c r="AP243" s="134"/>
      <c r="AQ243" s="47"/>
      <c r="AR243" s="134"/>
      <c r="AS243" s="47"/>
      <c r="AT243" s="134"/>
      <c r="AU243" s="47"/>
      <c r="AV243" s="134"/>
      <c r="AW243" s="47"/>
      <c r="AX243" s="134"/>
      <c r="AY243" s="47"/>
      <c r="AZ243" s="134"/>
      <c r="BA243" s="47"/>
      <c r="BB243" s="134"/>
      <c r="BC243" s="47"/>
      <c r="BD243" s="134"/>
      <c r="BE243" s="47"/>
      <c r="BF243" s="134"/>
      <c r="BG243" s="47"/>
      <c r="BH243" s="134"/>
      <c r="BI243" s="47"/>
      <c r="BJ243" s="134"/>
      <c r="BK243" s="47"/>
      <c r="BL243" s="134"/>
      <c r="BM243" s="47"/>
      <c r="BN243" s="134"/>
      <c r="BO243" s="47"/>
      <c r="BP243" s="134"/>
      <c r="BQ243" s="47"/>
      <c r="BR243" s="134"/>
      <c r="BS243" s="47"/>
      <c r="BT243" s="134"/>
      <c r="BU243" s="47"/>
      <c r="BV243" s="134"/>
      <c r="BW243" s="47"/>
      <c r="BX243" s="134"/>
      <c r="BY243" s="47"/>
      <c r="BZ243" s="134"/>
      <c r="CA243" s="47"/>
      <c r="CB243" s="127"/>
      <c r="CC243" s="127"/>
      <c r="CD243" s="127"/>
      <c r="CE243" s="127"/>
      <c r="CF243" s="127"/>
      <c r="CG243" s="127"/>
      <c r="CH243" s="127"/>
      <c r="CI243" s="127"/>
      <c r="CJ243" s="127"/>
      <c r="CK243" s="77">
        <f t="shared" si="161"/>
        <v>8</v>
      </c>
      <c r="CL243" s="37" t="str">
        <f t="shared" si="162"/>
        <v>Debt</v>
      </c>
      <c r="CM243" s="77">
        <f t="shared" si="163"/>
        <v>8</v>
      </c>
      <c r="CN243" s="37" t="str">
        <f t="shared" si="186"/>
        <v>Debt</v>
      </c>
      <c r="CO243" s="77">
        <f t="shared" si="164"/>
        <v>8</v>
      </c>
      <c r="CP243" s="37" t="str">
        <f t="shared" si="165"/>
        <v>Debt</v>
      </c>
      <c r="CQ243" s="77">
        <f t="shared" si="166"/>
        <v>8</v>
      </c>
      <c r="CR243" s="37" t="str">
        <f t="shared" si="167"/>
        <v>Debt</v>
      </c>
      <c r="CS243" s="77">
        <f t="shared" si="168"/>
        <v>8</v>
      </c>
      <c r="CT243" s="37" t="str">
        <f t="shared" si="169"/>
        <v>Debt</v>
      </c>
      <c r="CU243" s="77">
        <f t="shared" si="170"/>
        <v>8</v>
      </c>
      <c r="CV243" s="37" t="str">
        <f t="shared" si="171"/>
        <v>Debt</v>
      </c>
      <c r="CW243" s="77">
        <f t="shared" si="172"/>
        <v>8</v>
      </c>
      <c r="CX243" s="37" t="str">
        <f t="shared" si="173"/>
        <v>Debt</v>
      </c>
      <c r="CZ243" s="49" t="s">
        <v>314</v>
      </c>
      <c r="DA243" s="77">
        <f t="shared" si="174"/>
        <v>8</v>
      </c>
      <c r="DB243" s="37" t="str">
        <f t="shared" si="175"/>
        <v>Debt</v>
      </c>
      <c r="DC243" s="77">
        <f t="shared" si="174"/>
        <v>8</v>
      </c>
      <c r="DD243" s="37" t="str">
        <f t="shared" si="176"/>
        <v>Debt</v>
      </c>
      <c r="DE243" s="77">
        <f t="shared" si="177"/>
        <v>8</v>
      </c>
      <c r="DF243" s="37" t="str">
        <f t="shared" si="178"/>
        <v>Debt</v>
      </c>
      <c r="DG243" s="77">
        <f t="shared" si="179"/>
        <v>8</v>
      </c>
      <c r="DH243" s="37" t="str">
        <f t="shared" si="180"/>
        <v>Debt</v>
      </c>
      <c r="DI243" s="77">
        <f t="shared" si="181"/>
        <v>8</v>
      </c>
      <c r="DJ243" s="37" t="str">
        <f t="shared" si="182"/>
        <v>Debt</v>
      </c>
      <c r="DK243" s="77">
        <f t="shared" si="183"/>
        <v>8</v>
      </c>
      <c r="DL243" s="37" t="str">
        <f t="shared" si="184"/>
        <v>Debt</v>
      </c>
      <c r="DN243" s="32">
        <v>242</v>
      </c>
      <c r="DO243" s="34" t="s">
        <v>686</v>
      </c>
      <c r="DP243" s="38">
        <f t="shared" si="185"/>
        <v>0</v>
      </c>
      <c r="DQ243" s="173" t="str">
        <f t="shared" si="147"/>
        <v>(Know) 0</v>
      </c>
      <c r="DR243" s="36" t="str">
        <f t="shared" si="148"/>
        <v/>
      </c>
      <c r="DV243" s="176">
        <f t="shared" si="143"/>
        <v>0</v>
      </c>
      <c r="DW243" s="243">
        <f>IF(COUNTIF('Char Sheet p1'!$AP$7:$AP$35,DQ243)=0,0,ROUNDDOWN(SUMIF('Char Sheet p1'!$AP$7:$AP$35,DQ243,'Char Sheet p1'!$AQ$7:$AQ$35)/10,0))</f>
        <v>0</v>
      </c>
      <c r="DX243" s="240">
        <f t="shared" si="149"/>
        <v>0</v>
      </c>
      <c r="DY243" s="36">
        <f t="shared" si="189"/>
        <v>8</v>
      </c>
      <c r="DZ243" s="36" t="str">
        <f t="shared" si="144"/>
        <v/>
      </c>
      <c r="EE243" s="36">
        <f t="shared" si="188"/>
        <v>2</v>
      </c>
    </row>
    <row r="244" spans="33:135">
      <c r="AG244" s="61" t="s">
        <v>189</v>
      </c>
      <c r="AH244" s="62" t="s">
        <v>174</v>
      </c>
      <c r="AI244" s="62"/>
      <c r="AJ244" s="63"/>
      <c r="AK244" s="63">
        <v>1</v>
      </c>
      <c r="AL244" s="63"/>
      <c r="AM244" s="63">
        <v>1</v>
      </c>
      <c r="AN244" s="63">
        <f t="shared" si="187"/>
        <v>9</v>
      </c>
      <c r="AO244" s="64" t="s">
        <v>190</v>
      </c>
      <c r="AP244" s="134"/>
      <c r="AQ244" s="47"/>
      <c r="AR244" s="134"/>
      <c r="AS244" s="47"/>
      <c r="AT244" s="134"/>
      <c r="AU244" s="47"/>
      <c r="AV244" s="134"/>
      <c r="AW244" s="47"/>
      <c r="AX244" s="134"/>
      <c r="AY244" s="47"/>
      <c r="AZ244" s="134"/>
      <c r="BA244" s="47"/>
      <c r="BB244" s="134"/>
      <c r="BC244" s="47"/>
      <c r="BD244" s="134"/>
      <c r="BE244" s="47"/>
      <c r="BF244" s="134"/>
      <c r="BG244" s="47"/>
      <c r="BH244" s="134"/>
      <c r="BI244" s="47"/>
      <c r="BJ244" s="134"/>
      <c r="BK244" s="47"/>
      <c r="BL244" s="134"/>
      <c r="BM244" s="47"/>
      <c r="BN244" s="134"/>
      <c r="BO244" s="47"/>
      <c r="BP244" s="134"/>
      <c r="BQ244" s="47"/>
      <c r="BR244" s="134"/>
      <c r="BS244" s="47"/>
      <c r="BT244" s="134"/>
      <c r="BU244" s="47"/>
      <c r="BV244" s="134"/>
      <c r="BW244" s="47"/>
      <c r="BX244" s="134"/>
      <c r="BY244" s="47"/>
      <c r="BZ244" s="134"/>
      <c r="CA244" s="47"/>
      <c r="CB244" s="127"/>
      <c r="CC244" s="127"/>
      <c r="CD244" s="127"/>
      <c r="CE244" s="127"/>
      <c r="CF244" s="127"/>
      <c r="CG244" s="127"/>
      <c r="CH244" s="127"/>
      <c r="CI244" s="127"/>
      <c r="CJ244" s="127"/>
      <c r="CK244" s="77">
        <f t="shared" si="161"/>
        <v>9</v>
      </c>
      <c r="CL244" s="37" t="str">
        <f t="shared" si="162"/>
        <v>Disturbing Habit</v>
      </c>
      <c r="CM244" s="77">
        <f t="shared" si="163"/>
        <v>9</v>
      </c>
      <c r="CN244" s="37" t="str">
        <f t="shared" si="186"/>
        <v>Disturbing Habit</v>
      </c>
      <c r="CO244" s="77">
        <f t="shared" si="164"/>
        <v>9</v>
      </c>
      <c r="CP244" s="37" t="str">
        <f t="shared" si="165"/>
        <v>Disturbing Habit</v>
      </c>
      <c r="CQ244" s="77">
        <f t="shared" si="166"/>
        <v>9</v>
      </c>
      <c r="CR244" s="37" t="str">
        <f t="shared" si="167"/>
        <v>Disturbing Habit</v>
      </c>
      <c r="CS244" s="77">
        <f t="shared" si="168"/>
        <v>9</v>
      </c>
      <c r="CT244" s="37" t="str">
        <f t="shared" si="169"/>
        <v>Disturbing Habit</v>
      </c>
      <c r="CU244" s="77">
        <f t="shared" si="170"/>
        <v>9</v>
      </c>
      <c r="CV244" s="37" t="str">
        <f t="shared" si="171"/>
        <v>Disturbing Habit</v>
      </c>
      <c r="CW244" s="77">
        <f t="shared" si="172"/>
        <v>9</v>
      </c>
      <c r="CX244" s="37" t="str">
        <f t="shared" si="173"/>
        <v>Disturbing Habit</v>
      </c>
      <c r="CZ244" s="16" t="str">
        <f>"Tables!"&amp;ADDRESS(ROW($CY$236),COLUMN())&amp;":"&amp;ADDRESS(ROW(CZ243),COLUMN())</f>
        <v>Tables!$CZ$236:$CZ$243</v>
      </c>
      <c r="DA244" s="77">
        <f t="shared" si="174"/>
        <v>9</v>
      </c>
      <c r="DB244" s="37" t="str">
        <f t="shared" si="175"/>
        <v>Disturbing Habit</v>
      </c>
      <c r="DC244" s="77">
        <f t="shared" si="174"/>
        <v>9</v>
      </c>
      <c r="DD244" s="37" t="str">
        <f t="shared" si="176"/>
        <v>Disturbing Habit</v>
      </c>
      <c r="DE244" s="77">
        <f t="shared" si="177"/>
        <v>9</v>
      </c>
      <c r="DF244" s="37" t="str">
        <f t="shared" si="178"/>
        <v>Disturbing Habit</v>
      </c>
      <c r="DG244" s="77">
        <f t="shared" si="179"/>
        <v>9</v>
      </c>
      <c r="DH244" s="37" t="str">
        <f t="shared" si="180"/>
        <v>Disturbing Habit</v>
      </c>
      <c r="DI244" s="77">
        <f t="shared" si="181"/>
        <v>9</v>
      </c>
      <c r="DJ244" s="37" t="str">
        <f t="shared" si="182"/>
        <v>Disturbing Habit</v>
      </c>
      <c r="DK244" s="77">
        <f t="shared" si="183"/>
        <v>9</v>
      </c>
      <c r="DL244" s="37" t="str">
        <f t="shared" si="184"/>
        <v>Disturbing Habit</v>
      </c>
      <c r="DN244" s="32">
        <v>243</v>
      </c>
      <c r="DO244" s="34" t="s">
        <v>686</v>
      </c>
      <c r="DP244" s="38">
        <f t="shared" si="185"/>
        <v>0</v>
      </c>
      <c r="DQ244" s="173" t="str">
        <f t="shared" si="147"/>
        <v>(Know) 0</v>
      </c>
      <c r="DR244" s="36" t="str">
        <f t="shared" si="148"/>
        <v/>
      </c>
      <c r="DV244" s="176">
        <f t="shared" si="143"/>
        <v>0</v>
      </c>
      <c r="DW244" s="243">
        <f>IF(COUNTIF('Char Sheet p1'!$AP$7:$AP$35,DQ244)=0,0,ROUNDDOWN(SUMIF('Char Sheet p1'!$AP$7:$AP$35,DQ244,'Char Sheet p1'!$AQ$7:$AQ$35)/10,0))</f>
        <v>0</v>
      </c>
      <c r="DX244" s="240">
        <f t="shared" si="149"/>
        <v>0</v>
      </c>
      <c r="DY244" s="36">
        <f t="shared" si="189"/>
        <v>9</v>
      </c>
      <c r="DZ244" s="36" t="str">
        <f t="shared" si="144"/>
        <v/>
      </c>
      <c r="EE244" s="36">
        <f t="shared" si="188"/>
        <v>2</v>
      </c>
    </row>
    <row r="245" spans="33:135">
      <c r="AG245" s="61" t="s">
        <v>191</v>
      </c>
      <c r="AH245" s="62" t="s">
        <v>174</v>
      </c>
      <c r="AI245" s="62"/>
      <c r="AJ245" s="63"/>
      <c r="AK245" s="63">
        <v>1</v>
      </c>
      <c r="AL245" s="63"/>
      <c r="AM245" s="63">
        <v>1</v>
      </c>
      <c r="AN245" s="63">
        <f t="shared" si="187"/>
        <v>10</v>
      </c>
      <c r="AO245" s="64" t="s">
        <v>192</v>
      </c>
      <c r="AP245" s="134"/>
      <c r="AQ245" s="47"/>
      <c r="AR245" s="134"/>
      <c r="AS245" s="47"/>
      <c r="AT245" s="134"/>
      <c r="AU245" s="47"/>
      <c r="AV245" s="134"/>
      <c r="AW245" s="47"/>
      <c r="AX245" s="134"/>
      <c r="AY245" s="47"/>
      <c r="AZ245" s="134"/>
      <c r="BA245" s="47"/>
      <c r="BB245" s="134"/>
      <c r="BC245" s="47"/>
      <c r="BD245" s="134"/>
      <c r="BE245" s="47"/>
      <c r="BF245" s="134"/>
      <c r="BG245" s="47"/>
      <c r="BH245" s="134"/>
      <c r="BI245" s="47"/>
      <c r="BJ245" s="134"/>
      <c r="BK245" s="47"/>
      <c r="BL245" s="134"/>
      <c r="BM245" s="47"/>
      <c r="BN245" s="134"/>
      <c r="BO245" s="47"/>
      <c r="BP245" s="134"/>
      <c r="BQ245" s="47"/>
      <c r="BR245" s="134"/>
      <c r="BS245" s="47"/>
      <c r="BT245" s="134"/>
      <c r="BU245" s="47"/>
      <c r="BV245" s="134"/>
      <c r="BW245" s="47"/>
      <c r="BX245" s="134"/>
      <c r="BY245" s="47"/>
      <c r="BZ245" s="134"/>
      <c r="CA245" s="47"/>
      <c r="CB245" s="127"/>
      <c r="CC245" s="127"/>
      <c r="CD245" s="127"/>
      <c r="CE245" s="127"/>
      <c r="CF245" s="127"/>
      <c r="CG245" s="127"/>
      <c r="CH245" s="127"/>
      <c r="CI245" s="127">
        <v>-1</v>
      </c>
      <c r="CJ245" s="127"/>
      <c r="CK245" s="77">
        <f t="shared" si="161"/>
        <v>10</v>
      </c>
      <c r="CL245" s="37" t="str">
        <f t="shared" si="162"/>
        <v>Dwarf</v>
      </c>
      <c r="CM245" s="77">
        <f t="shared" si="163"/>
        <v>10</v>
      </c>
      <c r="CN245" s="37" t="str">
        <f t="shared" si="186"/>
        <v>Dwarf</v>
      </c>
      <c r="CO245" s="77">
        <f t="shared" si="164"/>
        <v>10</v>
      </c>
      <c r="CP245" s="37" t="str">
        <f t="shared" si="165"/>
        <v>Dwarf</v>
      </c>
      <c r="CQ245" s="77">
        <f t="shared" si="166"/>
        <v>10</v>
      </c>
      <c r="CR245" s="37" t="str">
        <f t="shared" si="167"/>
        <v>Dwarf</v>
      </c>
      <c r="CS245" s="77">
        <f t="shared" si="168"/>
        <v>10</v>
      </c>
      <c r="CT245" s="37" t="str">
        <f t="shared" si="169"/>
        <v>Dwarf</v>
      </c>
      <c r="CU245" s="77">
        <f t="shared" si="170"/>
        <v>10</v>
      </c>
      <c r="CV245" s="37" t="str">
        <f t="shared" si="171"/>
        <v>Dwarf</v>
      </c>
      <c r="CW245" s="77">
        <f t="shared" si="172"/>
        <v>10</v>
      </c>
      <c r="CX245" s="37" t="str">
        <f t="shared" si="173"/>
        <v>Dwarf</v>
      </c>
      <c r="DA245" s="77">
        <f t="shared" si="174"/>
        <v>10</v>
      </c>
      <c r="DB245" s="37" t="str">
        <f t="shared" si="175"/>
        <v>Dwarf</v>
      </c>
      <c r="DC245" s="77">
        <f t="shared" si="174"/>
        <v>10</v>
      </c>
      <c r="DD245" s="37" t="str">
        <f t="shared" si="176"/>
        <v>Dwarf</v>
      </c>
      <c r="DE245" s="77">
        <f t="shared" si="177"/>
        <v>10</v>
      </c>
      <c r="DF245" s="37" t="str">
        <f t="shared" si="178"/>
        <v>Dwarf</v>
      </c>
      <c r="DG245" s="77">
        <f t="shared" si="179"/>
        <v>10</v>
      </c>
      <c r="DH245" s="37" t="str">
        <f t="shared" si="180"/>
        <v>Dwarf</v>
      </c>
      <c r="DI245" s="77">
        <f t="shared" si="181"/>
        <v>10</v>
      </c>
      <c r="DJ245" s="37" t="str">
        <f t="shared" si="182"/>
        <v>Dwarf</v>
      </c>
      <c r="DK245" s="77">
        <f t="shared" si="183"/>
        <v>10</v>
      </c>
      <c r="DL245" s="37" t="str">
        <f t="shared" si="184"/>
        <v>Dwarf</v>
      </c>
      <c r="DN245" s="32">
        <v>244</v>
      </c>
      <c r="DO245" s="34" t="s">
        <v>686</v>
      </c>
      <c r="DP245" s="38">
        <f t="shared" si="185"/>
        <v>0</v>
      </c>
      <c r="DQ245" s="173" t="str">
        <f t="shared" si="147"/>
        <v>(Know) 0</v>
      </c>
      <c r="DR245" s="36" t="str">
        <f t="shared" si="148"/>
        <v/>
      </c>
      <c r="DV245" s="176">
        <f t="shared" si="143"/>
        <v>0</v>
      </c>
      <c r="DW245" s="243">
        <f>IF(COUNTIF('Char Sheet p1'!$AP$7:$AP$35,DQ245)=0,0,ROUNDDOWN(SUMIF('Char Sheet p1'!$AP$7:$AP$35,DQ245,'Char Sheet p1'!$AQ$7:$AQ$35)/10,0))</f>
        <v>0</v>
      </c>
      <c r="DX245" s="240">
        <f t="shared" si="149"/>
        <v>0</v>
      </c>
      <c r="DY245" s="36">
        <f t="shared" si="189"/>
        <v>10</v>
      </c>
      <c r="DZ245" s="36" t="str">
        <f t="shared" si="144"/>
        <v/>
      </c>
      <c r="EE245" s="36">
        <f t="shared" si="188"/>
        <v>2</v>
      </c>
    </row>
    <row r="246" spans="33:135">
      <c r="AG246" s="61" t="s">
        <v>193</v>
      </c>
      <c r="AH246" s="62" t="s">
        <v>174</v>
      </c>
      <c r="AI246" s="62"/>
      <c r="AJ246" s="63"/>
      <c r="AK246" s="63">
        <v>1</v>
      </c>
      <c r="AL246" s="63"/>
      <c r="AM246" s="63">
        <f>N(gender="male")</f>
        <v>1</v>
      </c>
      <c r="AN246" s="63">
        <f t="shared" si="187"/>
        <v>11</v>
      </c>
      <c r="AO246" s="64" t="s">
        <v>194</v>
      </c>
      <c r="AP246" s="134"/>
      <c r="AQ246" s="47"/>
      <c r="AR246" s="134"/>
      <c r="AS246" s="47"/>
      <c r="AT246" s="134"/>
      <c r="AU246" s="47"/>
      <c r="AV246" s="134"/>
      <c r="AW246" s="47"/>
      <c r="AX246" s="134"/>
      <c r="AY246" s="47"/>
      <c r="AZ246" s="134"/>
      <c r="BA246" s="47"/>
      <c r="BB246" s="134"/>
      <c r="BC246" s="47"/>
      <c r="BD246" s="134"/>
      <c r="BE246" s="47"/>
      <c r="BF246" s="134"/>
      <c r="BG246" s="47"/>
      <c r="BH246" s="134"/>
      <c r="BI246" s="47"/>
      <c r="BJ246" s="134"/>
      <c r="BK246" s="47"/>
      <c r="BL246" s="134"/>
      <c r="BM246" s="47"/>
      <c r="BN246" s="134">
        <v>-1</v>
      </c>
      <c r="BO246" s="47"/>
      <c r="BP246" s="134"/>
      <c r="BQ246" s="47"/>
      <c r="BR246" s="134"/>
      <c r="BS246" s="47"/>
      <c r="BT246" s="134"/>
      <c r="BU246" s="47"/>
      <c r="BV246" s="134"/>
      <c r="BW246" s="47"/>
      <c r="BX246" s="134"/>
      <c r="BY246" s="47"/>
      <c r="BZ246" s="134"/>
      <c r="CA246" s="47"/>
      <c r="CB246" s="127"/>
      <c r="CC246" s="127"/>
      <c r="CD246" s="127"/>
      <c r="CE246" s="127"/>
      <c r="CF246" s="127"/>
      <c r="CG246" s="127"/>
      <c r="CH246" s="127"/>
      <c r="CI246" s="127"/>
      <c r="CJ246" s="127"/>
      <c r="CK246" s="77">
        <f t="shared" si="161"/>
        <v>11</v>
      </c>
      <c r="CL246" s="37" t="str">
        <f t="shared" si="162"/>
        <v>Eunuch</v>
      </c>
      <c r="CM246" s="77">
        <f t="shared" si="163"/>
        <v>11</v>
      </c>
      <c r="CN246" s="37" t="str">
        <f t="shared" si="186"/>
        <v>Eunuch</v>
      </c>
      <c r="CO246" s="77">
        <f t="shared" si="164"/>
        <v>11</v>
      </c>
      <c r="CP246" s="37" t="str">
        <f t="shared" si="165"/>
        <v>Eunuch</v>
      </c>
      <c r="CQ246" s="77">
        <f t="shared" si="166"/>
        <v>11</v>
      </c>
      <c r="CR246" s="37" t="str">
        <f t="shared" si="167"/>
        <v>Eunuch</v>
      </c>
      <c r="CS246" s="77">
        <f t="shared" si="168"/>
        <v>11</v>
      </c>
      <c r="CT246" s="37" t="str">
        <f t="shared" si="169"/>
        <v>Eunuch</v>
      </c>
      <c r="CU246" s="77">
        <f t="shared" si="170"/>
        <v>11</v>
      </c>
      <c r="CV246" s="37" t="str">
        <f t="shared" si="171"/>
        <v>Eunuch</v>
      </c>
      <c r="CW246" s="77">
        <f t="shared" si="172"/>
        <v>11</v>
      </c>
      <c r="CX246" s="37" t="str">
        <f t="shared" si="173"/>
        <v>Eunuch</v>
      </c>
      <c r="DA246" s="77">
        <f t="shared" si="174"/>
        <v>11</v>
      </c>
      <c r="DB246" s="37" t="str">
        <f t="shared" si="175"/>
        <v>Eunuch</v>
      </c>
      <c r="DC246" s="77">
        <f t="shared" si="174"/>
        <v>11</v>
      </c>
      <c r="DD246" s="37" t="str">
        <f t="shared" si="176"/>
        <v>Eunuch</v>
      </c>
      <c r="DE246" s="77">
        <f t="shared" si="177"/>
        <v>11</v>
      </c>
      <c r="DF246" s="37" t="str">
        <f t="shared" si="178"/>
        <v>Eunuch</v>
      </c>
      <c r="DG246" s="77">
        <f t="shared" si="179"/>
        <v>11</v>
      </c>
      <c r="DH246" s="37" t="str">
        <f t="shared" si="180"/>
        <v>Eunuch</v>
      </c>
      <c r="DI246" s="77">
        <f t="shared" si="181"/>
        <v>11</v>
      </c>
      <c r="DJ246" s="37" t="str">
        <f t="shared" si="182"/>
        <v>Eunuch</v>
      </c>
      <c r="DK246" s="77">
        <f t="shared" si="183"/>
        <v>11</v>
      </c>
      <c r="DL246" s="37" t="str">
        <f t="shared" si="184"/>
        <v>Eunuch</v>
      </c>
      <c r="DN246" s="32">
        <v>245</v>
      </c>
      <c r="DO246" s="34" t="s">
        <v>686</v>
      </c>
      <c r="DP246" s="38">
        <f t="shared" si="185"/>
        <v>0</v>
      </c>
      <c r="DQ246" s="173" t="str">
        <f t="shared" si="147"/>
        <v>(Know) 0</v>
      </c>
      <c r="DR246" s="36" t="str">
        <f t="shared" si="148"/>
        <v/>
      </c>
      <c r="DV246" s="176">
        <f t="shared" si="143"/>
        <v>0</v>
      </c>
      <c r="DW246" s="243">
        <f>IF(COUNTIF('Char Sheet p1'!$AP$7:$AP$35,DQ246)=0,0,ROUNDDOWN(SUMIF('Char Sheet p1'!$AP$7:$AP$35,DQ246,'Char Sheet p1'!$AQ$7:$AQ$35)/10,0))</f>
        <v>0</v>
      </c>
      <c r="DX246" s="240">
        <f t="shared" si="149"/>
        <v>0</v>
      </c>
      <c r="DY246" s="36">
        <f t="shared" si="189"/>
        <v>11</v>
      </c>
      <c r="DZ246" s="36" t="str">
        <f t="shared" si="144"/>
        <v/>
      </c>
      <c r="EE246" s="36">
        <f t="shared" si="188"/>
        <v>2</v>
      </c>
    </row>
    <row r="247" spans="33:135">
      <c r="AG247" s="61" t="s">
        <v>195</v>
      </c>
      <c r="AH247" s="62" t="s">
        <v>174</v>
      </c>
      <c r="AI247" s="62"/>
      <c r="AJ247" s="63" t="s">
        <v>970</v>
      </c>
      <c r="AK247" s="63">
        <v>1</v>
      </c>
      <c r="AL247" s="63"/>
      <c r="AM247" s="63">
        <v>1</v>
      </c>
      <c r="AN247" s="63">
        <f t="shared" si="187"/>
        <v>12</v>
      </c>
      <c r="AO247" s="64" t="s">
        <v>196</v>
      </c>
      <c r="AP247" s="134"/>
      <c r="AQ247" s="47"/>
      <c r="AR247" s="134"/>
      <c r="AS247" s="47"/>
      <c r="AT247" s="134"/>
      <c r="AU247" s="47"/>
      <c r="AV247" s="134"/>
      <c r="AW247" s="47"/>
      <c r="AX247" s="134"/>
      <c r="AY247" s="47"/>
      <c r="AZ247" s="134"/>
      <c r="BA247" s="47"/>
      <c r="BB247" s="134"/>
      <c r="BC247" s="47"/>
      <c r="BD247" s="134"/>
      <c r="BE247" s="47"/>
      <c r="BF247" s="134"/>
      <c r="BG247" s="47"/>
      <c r="BH247" s="134"/>
      <c r="BI247" s="47"/>
      <c r="BJ247" s="134"/>
      <c r="BK247" s="47"/>
      <c r="BL247" s="134"/>
      <c r="BM247" s="47"/>
      <c r="BN247" s="134"/>
      <c r="BO247" s="47"/>
      <c r="BP247" s="134"/>
      <c r="BQ247" s="47"/>
      <c r="BR247" s="134"/>
      <c r="BS247" s="47"/>
      <c r="BT247" s="134"/>
      <c r="BU247" s="47"/>
      <c r="BV247" s="134"/>
      <c r="BW247" s="47"/>
      <c r="BX247" s="134"/>
      <c r="BY247" s="47"/>
      <c r="BZ247" s="134"/>
      <c r="CA247" s="47"/>
      <c r="CB247" s="127"/>
      <c r="CC247" s="127"/>
      <c r="CD247" s="127"/>
      <c r="CE247" s="127"/>
      <c r="CF247" s="127"/>
      <c r="CG247" s="127"/>
      <c r="CH247" s="127"/>
      <c r="CI247" s="127"/>
      <c r="CJ247" s="127"/>
      <c r="CK247" s="77">
        <f t="shared" si="161"/>
        <v>12</v>
      </c>
      <c r="CL247" s="37" t="str">
        <f t="shared" si="162"/>
        <v>Fear</v>
      </c>
      <c r="CM247" s="77">
        <f t="shared" si="163"/>
        <v>12</v>
      </c>
      <c r="CN247" s="37" t="str">
        <f t="shared" si="186"/>
        <v>Fear</v>
      </c>
      <c r="CO247" s="77">
        <f t="shared" si="164"/>
        <v>12</v>
      </c>
      <c r="CP247" s="37" t="str">
        <f t="shared" si="165"/>
        <v>Fear</v>
      </c>
      <c r="CQ247" s="77">
        <f t="shared" si="166"/>
        <v>12</v>
      </c>
      <c r="CR247" s="37" t="str">
        <f t="shared" si="167"/>
        <v>Fear</v>
      </c>
      <c r="CS247" s="77">
        <f t="shared" si="168"/>
        <v>12</v>
      </c>
      <c r="CT247" s="37" t="str">
        <f t="shared" si="169"/>
        <v>Fear</v>
      </c>
      <c r="CU247" s="77">
        <f t="shared" si="170"/>
        <v>12</v>
      </c>
      <c r="CV247" s="37" t="str">
        <f t="shared" si="171"/>
        <v>Fear</v>
      </c>
      <c r="CW247" s="77">
        <f t="shared" si="172"/>
        <v>12</v>
      </c>
      <c r="CX247" s="37" t="str">
        <f t="shared" si="173"/>
        <v>Fear</v>
      </c>
      <c r="DA247" s="77">
        <f t="shared" si="174"/>
        <v>12</v>
      </c>
      <c r="DB247" s="37" t="str">
        <f t="shared" si="175"/>
        <v>Fear</v>
      </c>
      <c r="DC247" s="77">
        <f t="shared" si="174"/>
        <v>12</v>
      </c>
      <c r="DD247" s="37" t="str">
        <f t="shared" si="176"/>
        <v>Fear</v>
      </c>
      <c r="DE247" s="77">
        <f t="shared" si="177"/>
        <v>12</v>
      </c>
      <c r="DF247" s="37" t="str">
        <f t="shared" si="178"/>
        <v>Fear</v>
      </c>
      <c r="DG247" s="77">
        <f t="shared" si="179"/>
        <v>12</v>
      </c>
      <c r="DH247" s="37" t="str">
        <f t="shared" si="180"/>
        <v>Fear</v>
      </c>
      <c r="DI247" s="77">
        <f t="shared" si="181"/>
        <v>12</v>
      </c>
      <c r="DJ247" s="37" t="str">
        <f t="shared" si="182"/>
        <v>Fear</v>
      </c>
      <c r="DK247" s="77">
        <f t="shared" si="183"/>
        <v>12</v>
      </c>
      <c r="DL247" s="37" t="str">
        <f t="shared" si="184"/>
        <v>Fear</v>
      </c>
      <c r="DN247" s="32">
        <v>246</v>
      </c>
      <c r="DO247" s="34" t="s">
        <v>686</v>
      </c>
      <c r="DP247" s="38">
        <f t="shared" si="185"/>
        <v>0</v>
      </c>
      <c r="DQ247" s="173" t="str">
        <f t="shared" si="147"/>
        <v>(Know) 0</v>
      </c>
      <c r="DR247" s="36" t="str">
        <f t="shared" si="148"/>
        <v/>
      </c>
      <c r="DV247" s="176">
        <f t="shared" si="143"/>
        <v>0</v>
      </c>
      <c r="DW247" s="243">
        <f>IF(COUNTIF('Char Sheet p1'!$AP$7:$AP$35,DQ247)=0,0,ROUNDDOWN(SUMIF('Char Sheet p1'!$AP$7:$AP$35,DQ247,'Char Sheet p1'!$AQ$7:$AQ$35)/10,0))</f>
        <v>0</v>
      </c>
      <c r="DX247" s="240">
        <f t="shared" si="149"/>
        <v>0</v>
      </c>
      <c r="DY247" s="36">
        <f t="shared" si="189"/>
        <v>12</v>
      </c>
      <c r="DZ247" s="36" t="str">
        <f t="shared" si="144"/>
        <v/>
      </c>
      <c r="EE247" s="36">
        <f t="shared" si="188"/>
        <v>2</v>
      </c>
    </row>
    <row r="248" spans="33:135">
      <c r="AG248" s="61" t="s">
        <v>197</v>
      </c>
      <c r="AH248" s="62" t="s">
        <v>174</v>
      </c>
      <c r="AI248" s="62"/>
      <c r="AJ248" s="63"/>
      <c r="AK248" s="65">
        <f>IF(age&gt;=A9,3,1)</f>
        <v>1</v>
      </c>
      <c r="AL248" s="65"/>
      <c r="AM248" s="63">
        <f>N(OR(agecategory="Old",agecategory="Very Old",agecategory="Venerable"))</f>
        <v>0</v>
      </c>
      <c r="AN248" s="63">
        <f t="shared" si="187"/>
        <v>13</v>
      </c>
      <c r="AO248" s="64" t="s">
        <v>198</v>
      </c>
      <c r="AP248" s="134"/>
      <c r="AQ248" s="47"/>
      <c r="AR248" s="134"/>
      <c r="AS248" s="47"/>
      <c r="AT248" s="134"/>
      <c r="AU248" s="47"/>
      <c r="AV248" s="134"/>
      <c r="AW248" s="47"/>
      <c r="AX248" s="134">
        <v>1</v>
      </c>
      <c r="AY248" s="47"/>
      <c r="AZ248" s="134"/>
      <c r="BA248" s="47"/>
      <c r="BB248" s="134"/>
      <c r="BC248" s="47"/>
      <c r="BD248" s="134"/>
      <c r="BE248" s="47"/>
      <c r="BF248" s="134"/>
      <c r="BG248" s="47"/>
      <c r="BH248" s="134">
        <v>1</v>
      </c>
      <c r="BI248" s="47"/>
      <c r="BJ248" s="134"/>
      <c r="BK248" s="47"/>
      <c r="BL248" s="134"/>
      <c r="BM248" s="47"/>
      <c r="BN248" s="134"/>
      <c r="BO248" s="47"/>
      <c r="BP248" s="134"/>
      <c r="BQ248" s="47"/>
      <c r="BR248" s="134"/>
      <c r="BS248" s="47"/>
      <c r="BT248" s="134"/>
      <c r="BU248" s="47"/>
      <c r="BV248" s="134"/>
      <c r="BW248" s="47"/>
      <c r="BX248" s="134"/>
      <c r="BY248" s="47"/>
      <c r="BZ248" s="134"/>
      <c r="CA248" s="47"/>
      <c r="CB248" s="127"/>
      <c r="CC248" s="127"/>
      <c r="CD248" s="127"/>
      <c r="CE248" s="127"/>
      <c r="CF248" s="127"/>
      <c r="CG248" s="127"/>
      <c r="CH248" s="127"/>
      <c r="CI248" s="127"/>
      <c r="CJ248" s="127"/>
      <c r="CK248" s="77" t="str">
        <f t="shared" si="161"/>
        <v/>
      </c>
      <c r="CL248" s="37" t="str">
        <f t="shared" si="162"/>
        <v>Flaw - Agility</v>
      </c>
      <c r="CM248" s="77" t="str">
        <f t="shared" si="163"/>
        <v/>
      </c>
      <c r="CN248" s="37" t="str">
        <f t="shared" si="186"/>
        <v>Flaw - Agility</v>
      </c>
      <c r="CO248" s="77" t="str">
        <f t="shared" si="164"/>
        <v/>
      </c>
      <c r="CP248" s="37" t="str">
        <f t="shared" si="165"/>
        <v>Flaw - Agility</v>
      </c>
      <c r="CQ248" s="77" t="str">
        <f t="shared" si="166"/>
        <v/>
      </c>
      <c r="CR248" s="37" t="str">
        <f t="shared" si="167"/>
        <v>Flaw - Agility</v>
      </c>
      <c r="CS248" s="77" t="str">
        <f t="shared" si="168"/>
        <v/>
      </c>
      <c r="CT248" s="37" t="str">
        <f t="shared" si="169"/>
        <v>Flaw - Agility</v>
      </c>
      <c r="CU248" s="77" t="str">
        <f t="shared" si="170"/>
        <v/>
      </c>
      <c r="CV248" s="37" t="str">
        <f t="shared" si="171"/>
        <v>Flaw - Agility</v>
      </c>
      <c r="CW248" s="77" t="str">
        <f t="shared" si="172"/>
        <v/>
      </c>
      <c r="CX248" s="37" t="str">
        <f t="shared" si="173"/>
        <v>Flaw - Agility</v>
      </c>
      <c r="DA248" s="77" t="str">
        <f t="shared" si="174"/>
        <v/>
      </c>
      <c r="DB248" s="37" t="str">
        <f t="shared" si="175"/>
        <v>Flaw - Agility</v>
      </c>
      <c r="DC248" s="77" t="str">
        <f t="shared" si="174"/>
        <v/>
      </c>
      <c r="DD248" s="37" t="str">
        <f t="shared" si="176"/>
        <v>Flaw - Agility</v>
      </c>
      <c r="DE248" s="77" t="str">
        <f t="shared" si="177"/>
        <v/>
      </c>
      <c r="DF248" s="37" t="str">
        <f t="shared" si="178"/>
        <v>Flaw - Agility</v>
      </c>
      <c r="DG248" s="77" t="str">
        <f t="shared" si="179"/>
        <v/>
      </c>
      <c r="DH248" s="37" t="str">
        <f t="shared" si="180"/>
        <v>Flaw - Agility</v>
      </c>
      <c r="DI248" s="77" t="str">
        <f t="shared" si="181"/>
        <v/>
      </c>
      <c r="DJ248" s="37" t="str">
        <f t="shared" si="182"/>
        <v>Flaw - Agility</v>
      </c>
      <c r="DK248" s="77" t="str">
        <f t="shared" si="183"/>
        <v/>
      </c>
      <c r="DL248" s="37" t="str">
        <f t="shared" si="184"/>
        <v>Flaw - Agility</v>
      </c>
      <c r="DN248" s="32">
        <v>247</v>
      </c>
      <c r="DO248" s="34" t="s">
        <v>686</v>
      </c>
      <c r="DP248" s="38">
        <f t="shared" si="185"/>
        <v>0</v>
      </c>
      <c r="DQ248" s="173" t="str">
        <f t="shared" si="147"/>
        <v>(Know) 0</v>
      </c>
      <c r="DR248" s="36" t="str">
        <f t="shared" si="148"/>
        <v/>
      </c>
      <c r="DV248" s="176">
        <f t="shared" si="143"/>
        <v>0</v>
      </c>
      <c r="DW248" s="243">
        <f>IF(COUNTIF('Char Sheet p1'!$AP$7:$AP$35,DQ248)=0,0,ROUNDDOWN(SUMIF('Char Sheet p1'!$AP$7:$AP$35,DQ248,'Char Sheet p1'!$AQ$7:$AQ$35)/10,0))</f>
        <v>0</v>
      </c>
      <c r="DX248" s="240">
        <f t="shared" si="149"/>
        <v>0</v>
      </c>
      <c r="DY248" s="36">
        <f t="shared" si="189"/>
        <v>13</v>
      </c>
      <c r="DZ248" s="36" t="str">
        <f t="shared" si="144"/>
        <v/>
      </c>
      <c r="EE248" s="36">
        <f t="shared" si="188"/>
        <v>2</v>
      </c>
    </row>
    <row r="249" spans="33:135">
      <c r="AG249" s="61" t="s">
        <v>277</v>
      </c>
      <c r="AH249" s="62" t="s">
        <v>174</v>
      </c>
      <c r="AI249" s="62"/>
      <c r="AJ249" s="63"/>
      <c r="AK249" s="63">
        <v>1</v>
      </c>
      <c r="AL249" s="63"/>
      <c r="AM249" s="63">
        <v>1</v>
      </c>
      <c r="AN249" s="63">
        <f t="shared" si="187"/>
        <v>14</v>
      </c>
      <c r="AO249" s="66" t="s">
        <v>294</v>
      </c>
      <c r="AP249" s="134">
        <v>-1</v>
      </c>
      <c r="AQ249" s="47"/>
      <c r="AR249" s="134"/>
      <c r="AS249" s="47"/>
      <c r="AT249" s="134"/>
      <c r="AU249" s="47"/>
      <c r="AV249" s="134"/>
      <c r="AW249" s="47"/>
      <c r="AX249" s="134"/>
      <c r="AY249" s="47"/>
      <c r="AZ249" s="134"/>
      <c r="BA249" s="47"/>
      <c r="BB249" s="134"/>
      <c r="BC249" s="47"/>
      <c r="BD249" s="134"/>
      <c r="BE249" s="47"/>
      <c r="BF249" s="134"/>
      <c r="BG249" s="47"/>
      <c r="BH249" s="134"/>
      <c r="BI249" s="47"/>
      <c r="BJ249" s="134"/>
      <c r="BK249" s="47"/>
      <c r="BL249" s="134"/>
      <c r="BM249" s="47"/>
      <c r="BN249" s="134"/>
      <c r="BO249" s="47"/>
      <c r="BP249" s="134"/>
      <c r="BQ249" s="47"/>
      <c r="BR249" s="134"/>
      <c r="BS249" s="47"/>
      <c r="BT249" s="134"/>
      <c r="BU249" s="47"/>
      <c r="BV249" s="134"/>
      <c r="BW249" s="47"/>
      <c r="BX249" s="134"/>
      <c r="BY249" s="47"/>
      <c r="BZ249" s="134"/>
      <c r="CA249" s="47"/>
      <c r="CB249" s="127"/>
      <c r="CC249" s="127"/>
      <c r="CD249" s="127"/>
      <c r="CE249" s="127">
        <v>-1</v>
      </c>
      <c r="CF249" s="127"/>
      <c r="CG249" s="127"/>
      <c r="CH249" s="127"/>
      <c r="CI249" s="127"/>
      <c r="CJ249" s="127"/>
      <c r="CK249" s="77">
        <f t="shared" si="161"/>
        <v>14</v>
      </c>
      <c r="CL249" s="37" t="str">
        <f t="shared" si="162"/>
        <v>Flaw - Animal Handling</v>
      </c>
      <c r="CM249" s="77">
        <f t="shared" si="163"/>
        <v>14</v>
      </c>
      <c r="CN249" s="37" t="str">
        <f t="shared" si="186"/>
        <v>Flaw - Animal Handling</v>
      </c>
      <c r="CO249" s="77">
        <f t="shared" si="164"/>
        <v>14</v>
      </c>
      <c r="CP249" s="37" t="str">
        <f t="shared" si="165"/>
        <v>Flaw - Animal Handling</v>
      </c>
      <c r="CQ249" s="77">
        <f t="shared" si="166"/>
        <v>14</v>
      </c>
      <c r="CR249" s="37" t="str">
        <f t="shared" si="167"/>
        <v>Flaw - Animal Handling</v>
      </c>
      <c r="CS249" s="77">
        <f t="shared" si="168"/>
        <v>14</v>
      </c>
      <c r="CT249" s="37" t="str">
        <f t="shared" si="169"/>
        <v>Flaw - Animal Handling</v>
      </c>
      <c r="CU249" s="77">
        <f t="shared" si="170"/>
        <v>14</v>
      </c>
      <c r="CV249" s="37" t="str">
        <f t="shared" si="171"/>
        <v>Flaw - Animal Handling</v>
      </c>
      <c r="CW249" s="77">
        <f t="shared" si="172"/>
        <v>14</v>
      </c>
      <c r="CX249" s="37" t="str">
        <f t="shared" si="173"/>
        <v>Flaw - Animal Handling</v>
      </c>
      <c r="DA249" s="77">
        <f t="shared" si="174"/>
        <v>14</v>
      </c>
      <c r="DB249" s="37" t="str">
        <f t="shared" si="175"/>
        <v>Flaw - Animal Handling</v>
      </c>
      <c r="DC249" s="77">
        <f t="shared" si="174"/>
        <v>14</v>
      </c>
      <c r="DD249" s="37" t="str">
        <f t="shared" si="176"/>
        <v>Flaw - Animal Handling</v>
      </c>
      <c r="DE249" s="77">
        <f t="shared" si="177"/>
        <v>14</v>
      </c>
      <c r="DF249" s="37" t="str">
        <f t="shared" si="178"/>
        <v>Flaw - Animal Handling</v>
      </c>
      <c r="DG249" s="77">
        <f t="shared" si="179"/>
        <v>14</v>
      </c>
      <c r="DH249" s="37" t="str">
        <f t="shared" si="180"/>
        <v>Flaw - Animal Handling</v>
      </c>
      <c r="DI249" s="77">
        <f t="shared" si="181"/>
        <v>14</v>
      </c>
      <c r="DJ249" s="37" t="str">
        <f t="shared" si="182"/>
        <v>Flaw - Animal Handling</v>
      </c>
      <c r="DK249" s="77">
        <f t="shared" si="183"/>
        <v>14</v>
      </c>
      <c r="DL249" s="37" t="str">
        <f t="shared" si="184"/>
        <v>Flaw - Animal Handling</v>
      </c>
      <c r="DN249" s="32">
        <v>248</v>
      </c>
      <c r="DO249" s="34" t="s">
        <v>686</v>
      </c>
      <c r="DP249" s="38">
        <f t="shared" si="185"/>
        <v>0</v>
      </c>
      <c r="DQ249" s="173" t="str">
        <f t="shared" si="147"/>
        <v>(Know) 0</v>
      </c>
      <c r="DR249" s="36" t="str">
        <f t="shared" si="148"/>
        <v/>
      </c>
      <c r="DV249" s="176">
        <f t="shared" si="143"/>
        <v>0</v>
      </c>
      <c r="DW249" s="243">
        <f>IF(COUNTIF('Char Sheet p1'!$AP$7:$AP$35,DQ249)=0,0,ROUNDDOWN(SUMIF('Char Sheet p1'!$AP$7:$AP$35,DQ249,'Char Sheet p1'!$AQ$7:$AQ$35)/10,0))</f>
        <v>0</v>
      </c>
      <c r="DX249" s="240">
        <f t="shared" si="149"/>
        <v>0</v>
      </c>
      <c r="DY249" s="36">
        <f t="shared" si="189"/>
        <v>14</v>
      </c>
      <c r="DZ249" s="36" t="str">
        <f t="shared" si="144"/>
        <v/>
      </c>
      <c r="EE249" s="36">
        <f t="shared" si="188"/>
        <v>2</v>
      </c>
    </row>
    <row r="250" spans="33:135">
      <c r="AG250" s="61" t="s">
        <v>278</v>
      </c>
      <c r="AH250" s="62" t="s">
        <v>174</v>
      </c>
      <c r="AI250" s="62"/>
      <c r="AJ250" s="63"/>
      <c r="AK250" s="63">
        <v>1</v>
      </c>
      <c r="AL250" s="63"/>
      <c r="AM250" s="63">
        <v>1</v>
      </c>
      <c r="AN250" s="63">
        <f t="shared" si="187"/>
        <v>15</v>
      </c>
      <c r="AO250" s="66" t="s">
        <v>295</v>
      </c>
      <c r="AP250" s="134"/>
      <c r="AQ250" s="47"/>
      <c r="AR250" s="134">
        <v>-1</v>
      </c>
      <c r="AS250" s="47"/>
      <c r="AT250" s="134"/>
      <c r="AU250" s="47"/>
      <c r="AV250" s="134"/>
      <c r="AW250" s="47"/>
      <c r="AX250" s="134"/>
      <c r="AY250" s="47"/>
      <c r="AZ250" s="134"/>
      <c r="BA250" s="47"/>
      <c r="BB250" s="134"/>
      <c r="BC250" s="47"/>
      <c r="BD250" s="134"/>
      <c r="BE250" s="47"/>
      <c r="BF250" s="134"/>
      <c r="BG250" s="47"/>
      <c r="BH250" s="134"/>
      <c r="BI250" s="47"/>
      <c r="BJ250" s="134"/>
      <c r="BK250" s="47"/>
      <c r="BL250" s="134"/>
      <c r="BM250" s="47"/>
      <c r="BN250" s="134"/>
      <c r="BO250" s="47"/>
      <c r="BP250" s="134"/>
      <c r="BQ250" s="47"/>
      <c r="BR250" s="134"/>
      <c r="BS250" s="47"/>
      <c r="BT250" s="134"/>
      <c r="BU250" s="47"/>
      <c r="BV250" s="134"/>
      <c r="BW250" s="47"/>
      <c r="BX250" s="134"/>
      <c r="BY250" s="47"/>
      <c r="BZ250" s="134"/>
      <c r="CA250" s="47"/>
      <c r="CB250" s="127"/>
      <c r="CC250" s="127"/>
      <c r="CD250" s="127"/>
      <c r="CE250" s="127"/>
      <c r="CF250" s="127"/>
      <c r="CG250" s="127"/>
      <c r="CH250" s="127"/>
      <c r="CI250" s="127"/>
      <c r="CJ250" s="127"/>
      <c r="CK250" s="77">
        <f t="shared" si="161"/>
        <v>15</v>
      </c>
      <c r="CL250" s="37" t="str">
        <f t="shared" si="162"/>
        <v>Flaw - Athletics</v>
      </c>
      <c r="CM250" s="77">
        <f t="shared" si="163"/>
        <v>15</v>
      </c>
      <c r="CN250" s="37" t="str">
        <f t="shared" si="186"/>
        <v>Flaw - Athletics</v>
      </c>
      <c r="CO250" s="77">
        <f t="shared" si="164"/>
        <v>15</v>
      </c>
      <c r="CP250" s="37" t="str">
        <f t="shared" si="165"/>
        <v>Flaw - Athletics</v>
      </c>
      <c r="CQ250" s="77">
        <f t="shared" si="166"/>
        <v>15</v>
      </c>
      <c r="CR250" s="37" t="str">
        <f t="shared" si="167"/>
        <v>Flaw - Athletics</v>
      </c>
      <c r="CS250" s="77">
        <f t="shared" si="168"/>
        <v>15</v>
      </c>
      <c r="CT250" s="37" t="str">
        <f t="shared" si="169"/>
        <v>Flaw - Athletics</v>
      </c>
      <c r="CU250" s="77">
        <f t="shared" si="170"/>
        <v>15</v>
      </c>
      <c r="CV250" s="37" t="str">
        <f t="shared" si="171"/>
        <v>Flaw - Athletics</v>
      </c>
      <c r="CW250" s="77">
        <f t="shared" si="172"/>
        <v>15</v>
      </c>
      <c r="CX250" s="37" t="str">
        <f t="shared" si="173"/>
        <v>Flaw - Athletics</v>
      </c>
      <c r="DA250" s="77">
        <f t="shared" si="174"/>
        <v>15</v>
      </c>
      <c r="DB250" s="37" t="str">
        <f t="shared" si="175"/>
        <v>Flaw - Athletics</v>
      </c>
      <c r="DC250" s="77">
        <f t="shared" si="174"/>
        <v>15</v>
      </c>
      <c r="DD250" s="37" t="str">
        <f t="shared" si="176"/>
        <v>Flaw - Athletics</v>
      </c>
      <c r="DE250" s="77">
        <f t="shared" si="177"/>
        <v>15</v>
      </c>
      <c r="DF250" s="37" t="str">
        <f t="shared" si="178"/>
        <v>Flaw - Athletics</v>
      </c>
      <c r="DG250" s="77">
        <f t="shared" si="179"/>
        <v>15</v>
      </c>
      <c r="DH250" s="37" t="str">
        <f t="shared" si="180"/>
        <v>Flaw - Athletics</v>
      </c>
      <c r="DI250" s="77">
        <f t="shared" si="181"/>
        <v>15</v>
      </c>
      <c r="DJ250" s="37" t="str">
        <f t="shared" si="182"/>
        <v>Flaw - Athletics</v>
      </c>
      <c r="DK250" s="77">
        <f t="shared" si="183"/>
        <v>15</v>
      </c>
      <c r="DL250" s="37" t="str">
        <f t="shared" si="184"/>
        <v>Flaw - Athletics</v>
      </c>
      <c r="DN250" s="32">
        <v>249</v>
      </c>
      <c r="DO250" s="34" t="s">
        <v>686</v>
      </c>
      <c r="DP250" s="38">
        <f t="shared" si="185"/>
        <v>0</v>
      </c>
      <c r="DQ250" s="173" t="str">
        <f t="shared" si="147"/>
        <v>(Know) 0</v>
      </c>
      <c r="DR250" s="36" t="str">
        <f t="shared" si="148"/>
        <v/>
      </c>
      <c r="DV250" s="176">
        <f t="shared" si="143"/>
        <v>0</v>
      </c>
      <c r="DW250" s="243">
        <f>IF(COUNTIF('Char Sheet p1'!$AP$7:$AP$35,DQ250)=0,0,ROUNDDOWN(SUMIF('Char Sheet p1'!$AP$7:$AP$35,DQ250,'Char Sheet p1'!$AQ$7:$AQ$35)/10,0))</f>
        <v>0</v>
      </c>
      <c r="DX250" s="240">
        <f t="shared" si="149"/>
        <v>0</v>
      </c>
      <c r="DY250" s="36">
        <f t="shared" si="189"/>
        <v>15</v>
      </c>
      <c r="DZ250" s="36" t="str">
        <f t="shared" si="144"/>
        <v/>
      </c>
      <c r="EE250" s="36">
        <f t="shared" si="188"/>
        <v>2</v>
      </c>
    </row>
    <row r="251" spans="33:135">
      <c r="AG251" s="61" t="s">
        <v>279</v>
      </c>
      <c r="AH251" s="62" t="s">
        <v>174</v>
      </c>
      <c r="AI251" s="62"/>
      <c r="AJ251" s="63"/>
      <c r="AK251" s="63">
        <v>1</v>
      </c>
      <c r="AL251" s="63"/>
      <c r="AM251" s="63">
        <v>1</v>
      </c>
      <c r="AN251" s="63">
        <f t="shared" si="187"/>
        <v>16</v>
      </c>
      <c r="AO251" s="66" t="s">
        <v>296</v>
      </c>
      <c r="AP251" s="134"/>
      <c r="AQ251" s="47"/>
      <c r="AR251" s="134"/>
      <c r="AS251" s="47"/>
      <c r="AT251" s="134">
        <v>-1</v>
      </c>
      <c r="AU251" s="47"/>
      <c r="AV251" s="134"/>
      <c r="AW251" s="47"/>
      <c r="AX251" s="134"/>
      <c r="AY251" s="47"/>
      <c r="AZ251" s="134"/>
      <c r="BA251" s="47"/>
      <c r="BB251" s="134"/>
      <c r="BC251" s="47"/>
      <c r="BD251" s="134"/>
      <c r="BE251" s="47"/>
      <c r="BF251" s="134"/>
      <c r="BG251" s="47"/>
      <c r="BH251" s="134"/>
      <c r="BI251" s="47"/>
      <c r="BJ251" s="134"/>
      <c r="BK251" s="47"/>
      <c r="BL251" s="134"/>
      <c r="BM251" s="47"/>
      <c r="BN251" s="134"/>
      <c r="BO251" s="47"/>
      <c r="BP251" s="134"/>
      <c r="BQ251" s="47"/>
      <c r="BR251" s="134"/>
      <c r="BS251" s="47"/>
      <c r="BT251" s="134"/>
      <c r="BU251" s="47"/>
      <c r="BV251" s="134"/>
      <c r="BW251" s="47"/>
      <c r="BX251" s="134"/>
      <c r="BY251" s="47"/>
      <c r="BZ251" s="134"/>
      <c r="CA251" s="47"/>
      <c r="CB251" s="127"/>
      <c r="CC251" s="127"/>
      <c r="CD251" s="127"/>
      <c r="CE251" s="127">
        <v>-1</v>
      </c>
      <c r="CF251" s="127"/>
      <c r="CG251" s="127"/>
      <c r="CH251" s="127"/>
      <c r="CI251" s="127"/>
      <c r="CJ251" s="127"/>
      <c r="CK251" s="77">
        <f t="shared" si="161"/>
        <v>16</v>
      </c>
      <c r="CL251" s="37" t="str">
        <f t="shared" si="162"/>
        <v>Flaw - Awareness</v>
      </c>
      <c r="CM251" s="77">
        <f t="shared" si="163"/>
        <v>16</v>
      </c>
      <c r="CN251" s="37" t="str">
        <f t="shared" si="186"/>
        <v>Flaw - Awareness</v>
      </c>
      <c r="CO251" s="77">
        <f t="shared" si="164"/>
        <v>16</v>
      </c>
      <c r="CP251" s="37" t="str">
        <f t="shared" si="165"/>
        <v>Flaw - Awareness</v>
      </c>
      <c r="CQ251" s="77">
        <f t="shared" si="166"/>
        <v>16</v>
      </c>
      <c r="CR251" s="37" t="str">
        <f t="shared" si="167"/>
        <v>Flaw - Awareness</v>
      </c>
      <c r="CS251" s="77">
        <f t="shared" si="168"/>
        <v>16</v>
      </c>
      <c r="CT251" s="37" t="str">
        <f t="shared" si="169"/>
        <v>Flaw - Awareness</v>
      </c>
      <c r="CU251" s="77">
        <f t="shared" si="170"/>
        <v>16</v>
      </c>
      <c r="CV251" s="37" t="str">
        <f t="shared" si="171"/>
        <v>Flaw - Awareness</v>
      </c>
      <c r="CW251" s="77">
        <f t="shared" si="172"/>
        <v>16</v>
      </c>
      <c r="CX251" s="37" t="str">
        <f t="shared" si="173"/>
        <v>Flaw - Awareness</v>
      </c>
      <c r="DA251" s="77">
        <f t="shared" si="174"/>
        <v>16</v>
      </c>
      <c r="DB251" s="37" t="str">
        <f t="shared" si="175"/>
        <v>Flaw - Awareness</v>
      </c>
      <c r="DC251" s="77">
        <f t="shared" si="174"/>
        <v>16</v>
      </c>
      <c r="DD251" s="37" t="str">
        <f t="shared" si="176"/>
        <v>Flaw - Awareness</v>
      </c>
      <c r="DE251" s="77">
        <f t="shared" si="177"/>
        <v>16</v>
      </c>
      <c r="DF251" s="37" t="str">
        <f t="shared" si="178"/>
        <v>Flaw - Awareness</v>
      </c>
      <c r="DG251" s="77">
        <f t="shared" si="179"/>
        <v>16</v>
      </c>
      <c r="DH251" s="37" t="str">
        <f t="shared" si="180"/>
        <v>Flaw - Awareness</v>
      </c>
      <c r="DI251" s="77">
        <f t="shared" si="181"/>
        <v>16</v>
      </c>
      <c r="DJ251" s="37" t="str">
        <f t="shared" si="182"/>
        <v>Flaw - Awareness</v>
      </c>
      <c r="DK251" s="77">
        <f t="shared" si="183"/>
        <v>16</v>
      </c>
      <c r="DL251" s="37" t="str">
        <f t="shared" si="184"/>
        <v>Flaw - Awareness</v>
      </c>
      <c r="DN251" s="32">
        <v>250</v>
      </c>
      <c r="DO251" s="34" t="s">
        <v>686</v>
      </c>
      <c r="DP251" s="38">
        <f t="shared" si="185"/>
        <v>0</v>
      </c>
      <c r="DQ251" s="173" t="str">
        <f t="shared" si="147"/>
        <v>(Know) 0</v>
      </c>
      <c r="DR251" s="36" t="str">
        <f t="shared" si="148"/>
        <v/>
      </c>
      <c r="DV251" s="176">
        <f t="shared" si="143"/>
        <v>0</v>
      </c>
      <c r="DW251" s="243">
        <f>IF(COUNTIF('Char Sheet p1'!$AP$7:$AP$35,DQ251)=0,0,ROUNDDOWN(SUMIF('Char Sheet p1'!$AP$7:$AP$35,DQ251,'Char Sheet p1'!$AQ$7:$AQ$35)/10,0))</f>
        <v>0</v>
      </c>
      <c r="DX251" s="240">
        <f t="shared" si="149"/>
        <v>0</v>
      </c>
      <c r="DY251" s="36">
        <f t="shared" si="189"/>
        <v>16</v>
      </c>
      <c r="DZ251" s="36" t="str">
        <f t="shared" si="144"/>
        <v/>
      </c>
      <c r="EE251" s="36">
        <f t="shared" si="188"/>
        <v>2</v>
      </c>
    </row>
    <row r="252" spans="33:135">
      <c r="AG252" s="61" t="s">
        <v>280</v>
      </c>
      <c r="AH252" s="62" t="s">
        <v>174</v>
      </c>
      <c r="AI252" s="62"/>
      <c r="AJ252" s="63"/>
      <c r="AK252" s="63">
        <v>1</v>
      </c>
      <c r="AL252" s="63"/>
      <c r="AM252" s="63">
        <v>1</v>
      </c>
      <c r="AN252" s="63">
        <f t="shared" si="187"/>
        <v>17</v>
      </c>
      <c r="AO252" s="66" t="s">
        <v>297</v>
      </c>
      <c r="AP252" s="134"/>
      <c r="AQ252" s="47"/>
      <c r="AR252" s="134"/>
      <c r="AS252" s="47"/>
      <c r="AT252" s="134"/>
      <c r="AU252" s="47"/>
      <c r="AV252" s="134">
        <v>-1</v>
      </c>
      <c r="AW252" s="47"/>
      <c r="AX252" s="134"/>
      <c r="AY252" s="47"/>
      <c r="AZ252" s="134"/>
      <c r="BA252" s="47"/>
      <c r="BB252" s="134"/>
      <c r="BC252" s="47"/>
      <c r="BD252" s="134"/>
      <c r="BE252" s="47"/>
      <c r="BF252" s="134"/>
      <c r="BG252" s="47"/>
      <c r="BH252" s="134"/>
      <c r="BI252" s="47"/>
      <c r="BJ252" s="134"/>
      <c r="BK252" s="47"/>
      <c r="BL252" s="134"/>
      <c r="BM252" s="47"/>
      <c r="BN252" s="134"/>
      <c r="BO252" s="47"/>
      <c r="BP252" s="134"/>
      <c r="BQ252" s="47"/>
      <c r="BR252" s="134"/>
      <c r="BS252" s="47"/>
      <c r="BT252" s="134"/>
      <c r="BU252" s="47"/>
      <c r="BV252" s="134"/>
      <c r="BW252" s="47"/>
      <c r="BX252" s="134"/>
      <c r="BY252" s="47"/>
      <c r="BZ252" s="134"/>
      <c r="CA252" s="47"/>
      <c r="CB252" s="127"/>
      <c r="CC252" s="127">
        <v>-1</v>
      </c>
      <c r="CD252" s="127"/>
      <c r="CE252" s="127">
        <v>-1</v>
      </c>
      <c r="CF252" s="127"/>
      <c r="CG252" s="127"/>
      <c r="CH252" s="127"/>
      <c r="CI252" s="127"/>
      <c r="CJ252" s="127"/>
      <c r="CK252" s="77">
        <f t="shared" si="161"/>
        <v>17</v>
      </c>
      <c r="CL252" s="37" t="str">
        <f t="shared" si="162"/>
        <v>Flaw - Cunning</v>
      </c>
      <c r="CM252" s="77">
        <f t="shared" si="163"/>
        <v>17</v>
      </c>
      <c r="CN252" s="37" t="str">
        <f t="shared" si="186"/>
        <v>Flaw - Cunning</v>
      </c>
      <c r="CO252" s="77">
        <f t="shared" si="164"/>
        <v>17</v>
      </c>
      <c r="CP252" s="37" t="str">
        <f t="shared" si="165"/>
        <v>Flaw - Cunning</v>
      </c>
      <c r="CQ252" s="77">
        <f t="shared" si="166"/>
        <v>17</v>
      </c>
      <c r="CR252" s="37" t="str">
        <f t="shared" si="167"/>
        <v>Flaw - Cunning</v>
      </c>
      <c r="CS252" s="77">
        <f t="shared" si="168"/>
        <v>17</v>
      </c>
      <c r="CT252" s="37" t="str">
        <f t="shared" si="169"/>
        <v>Flaw - Cunning</v>
      </c>
      <c r="CU252" s="77">
        <f t="shared" si="170"/>
        <v>17</v>
      </c>
      <c r="CV252" s="37" t="str">
        <f t="shared" si="171"/>
        <v>Flaw - Cunning</v>
      </c>
      <c r="CW252" s="77">
        <f t="shared" si="172"/>
        <v>17</v>
      </c>
      <c r="CX252" s="37" t="str">
        <f t="shared" si="173"/>
        <v>Flaw - Cunning</v>
      </c>
      <c r="DA252" s="77">
        <f t="shared" si="174"/>
        <v>17</v>
      </c>
      <c r="DB252" s="37" t="str">
        <f t="shared" si="175"/>
        <v>Flaw - Cunning</v>
      </c>
      <c r="DC252" s="77">
        <f t="shared" si="174"/>
        <v>17</v>
      </c>
      <c r="DD252" s="37" t="str">
        <f t="shared" si="176"/>
        <v>Flaw - Cunning</v>
      </c>
      <c r="DE252" s="77">
        <f t="shared" si="177"/>
        <v>17</v>
      </c>
      <c r="DF252" s="37" t="str">
        <f t="shared" si="178"/>
        <v>Flaw - Cunning</v>
      </c>
      <c r="DG252" s="77">
        <f t="shared" si="179"/>
        <v>17</v>
      </c>
      <c r="DH252" s="37" t="str">
        <f t="shared" si="180"/>
        <v>Flaw - Cunning</v>
      </c>
      <c r="DI252" s="77">
        <f t="shared" si="181"/>
        <v>17</v>
      </c>
      <c r="DJ252" s="37" t="str">
        <f t="shared" si="182"/>
        <v>Flaw - Cunning</v>
      </c>
      <c r="DK252" s="77">
        <f t="shared" si="183"/>
        <v>17</v>
      </c>
      <c r="DL252" s="37" t="str">
        <f t="shared" si="184"/>
        <v>Flaw - Cunning</v>
      </c>
      <c r="DN252" s="32">
        <v>251</v>
      </c>
      <c r="DO252" s="34" t="s">
        <v>686</v>
      </c>
      <c r="DP252" s="38">
        <f t="shared" si="185"/>
        <v>0</v>
      </c>
      <c r="DQ252" s="173" t="str">
        <f t="shared" si="147"/>
        <v>(Know) 0</v>
      </c>
      <c r="DR252" s="36" t="str">
        <f t="shared" si="148"/>
        <v/>
      </c>
      <c r="DV252" s="176">
        <f t="shared" si="143"/>
        <v>0</v>
      </c>
      <c r="DW252" s="243">
        <f>IF(COUNTIF('Char Sheet p1'!$AP$7:$AP$35,DQ252)=0,0,ROUNDDOWN(SUMIF('Char Sheet p1'!$AP$7:$AP$35,DQ252,'Char Sheet p1'!$AQ$7:$AQ$35)/10,0))</f>
        <v>0</v>
      </c>
      <c r="DX252" s="240">
        <f t="shared" si="149"/>
        <v>0</v>
      </c>
      <c r="DY252" s="36">
        <f t="shared" si="189"/>
        <v>17</v>
      </c>
      <c r="DZ252" s="36" t="str">
        <f t="shared" si="144"/>
        <v/>
      </c>
      <c r="EE252" s="36">
        <f t="shared" si="188"/>
        <v>2</v>
      </c>
    </row>
    <row r="253" spans="33:135">
      <c r="AG253" s="61" t="s">
        <v>281</v>
      </c>
      <c r="AH253" s="62" t="s">
        <v>174</v>
      </c>
      <c r="AI253" s="62"/>
      <c r="AJ253" s="63"/>
      <c r="AK253" s="63">
        <v>1</v>
      </c>
      <c r="AL253" s="63"/>
      <c r="AM253" s="63">
        <v>1</v>
      </c>
      <c r="AN253" s="63">
        <f t="shared" si="187"/>
        <v>18</v>
      </c>
      <c r="AO253" s="66" t="s">
        <v>298</v>
      </c>
      <c r="AP253" s="134"/>
      <c r="AQ253" s="47"/>
      <c r="AR253" s="134"/>
      <c r="AS253" s="47"/>
      <c r="AT253" s="134"/>
      <c r="AU253" s="47"/>
      <c r="AV253" s="134"/>
      <c r="AW253" s="47"/>
      <c r="AX253" s="134">
        <v>-1</v>
      </c>
      <c r="AY253" s="47"/>
      <c r="AZ253" s="134"/>
      <c r="BA253" s="47"/>
      <c r="BB253" s="134"/>
      <c r="BC253" s="47"/>
      <c r="BD253" s="134"/>
      <c r="BE253" s="47"/>
      <c r="BF253" s="134"/>
      <c r="BG253" s="47"/>
      <c r="BH253" s="134"/>
      <c r="BI253" s="47"/>
      <c r="BJ253" s="134"/>
      <c r="BK253" s="47"/>
      <c r="BL253" s="134"/>
      <c r="BM253" s="47"/>
      <c r="BN253" s="134"/>
      <c r="BO253" s="47"/>
      <c r="BP253" s="134"/>
      <c r="BQ253" s="47"/>
      <c r="BR253" s="134"/>
      <c r="BS253" s="47"/>
      <c r="BT253" s="134"/>
      <c r="BU253" s="47"/>
      <c r="BV253" s="134"/>
      <c r="BW253" s="47"/>
      <c r="BX253" s="134"/>
      <c r="BY253" s="47"/>
      <c r="BZ253" s="134"/>
      <c r="CA253" s="47"/>
      <c r="CB253" s="127"/>
      <c r="CC253" s="127">
        <v>-1</v>
      </c>
      <c r="CD253" s="127"/>
      <c r="CE253" s="127"/>
      <c r="CF253" s="127"/>
      <c r="CG253" s="127"/>
      <c r="CH253" s="127"/>
      <c r="CI253" s="127"/>
      <c r="CJ253" s="127"/>
      <c r="CK253" s="77">
        <f t="shared" si="161"/>
        <v>18</v>
      </c>
      <c r="CL253" s="37" t="str">
        <f t="shared" si="162"/>
        <v>Flaw - Deception</v>
      </c>
      <c r="CM253" s="77">
        <f t="shared" si="163"/>
        <v>18</v>
      </c>
      <c r="CN253" s="37" t="str">
        <f t="shared" si="186"/>
        <v>Flaw - Deception</v>
      </c>
      <c r="CO253" s="77">
        <f t="shared" si="164"/>
        <v>18</v>
      </c>
      <c r="CP253" s="37" t="str">
        <f t="shared" si="165"/>
        <v>Flaw - Deception</v>
      </c>
      <c r="CQ253" s="77">
        <f t="shared" si="166"/>
        <v>18</v>
      </c>
      <c r="CR253" s="37" t="str">
        <f t="shared" si="167"/>
        <v>Flaw - Deception</v>
      </c>
      <c r="CS253" s="77">
        <f t="shared" si="168"/>
        <v>18</v>
      </c>
      <c r="CT253" s="37" t="str">
        <f t="shared" si="169"/>
        <v>Flaw - Deception</v>
      </c>
      <c r="CU253" s="77">
        <f t="shared" si="170"/>
        <v>18</v>
      </c>
      <c r="CV253" s="37" t="str">
        <f t="shared" si="171"/>
        <v>Flaw - Deception</v>
      </c>
      <c r="CW253" s="77">
        <f t="shared" si="172"/>
        <v>18</v>
      </c>
      <c r="CX253" s="37" t="str">
        <f t="shared" si="173"/>
        <v>Flaw - Deception</v>
      </c>
      <c r="DA253" s="77">
        <f t="shared" si="174"/>
        <v>18</v>
      </c>
      <c r="DB253" s="37" t="str">
        <f t="shared" si="175"/>
        <v>Flaw - Deception</v>
      </c>
      <c r="DC253" s="77">
        <f t="shared" si="174"/>
        <v>18</v>
      </c>
      <c r="DD253" s="37" t="str">
        <f t="shared" si="176"/>
        <v>Flaw - Deception</v>
      </c>
      <c r="DE253" s="77">
        <f t="shared" si="177"/>
        <v>18</v>
      </c>
      <c r="DF253" s="37" t="str">
        <f t="shared" si="178"/>
        <v>Flaw - Deception</v>
      </c>
      <c r="DG253" s="77">
        <f t="shared" si="179"/>
        <v>18</v>
      </c>
      <c r="DH253" s="37" t="str">
        <f t="shared" si="180"/>
        <v>Flaw - Deception</v>
      </c>
      <c r="DI253" s="77">
        <f t="shared" si="181"/>
        <v>18</v>
      </c>
      <c r="DJ253" s="37" t="str">
        <f t="shared" si="182"/>
        <v>Flaw - Deception</v>
      </c>
      <c r="DK253" s="77">
        <f t="shared" si="183"/>
        <v>18</v>
      </c>
      <c r="DL253" s="37" t="str">
        <f t="shared" si="184"/>
        <v>Flaw - Deception</v>
      </c>
      <c r="DN253" s="32">
        <v>252</v>
      </c>
      <c r="DO253" s="34" t="s">
        <v>686</v>
      </c>
      <c r="DP253" s="38">
        <f t="shared" si="185"/>
        <v>0</v>
      </c>
      <c r="DQ253" s="173" t="str">
        <f t="shared" si="147"/>
        <v>(Know) 0</v>
      </c>
      <c r="DR253" s="36" t="str">
        <f t="shared" si="148"/>
        <v/>
      </c>
      <c r="DV253" s="176">
        <f t="shared" si="143"/>
        <v>0</v>
      </c>
      <c r="DW253" s="243">
        <f>IF(COUNTIF('Char Sheet p1'!$AP$7:$AP$35,DQ253)=0,0,ROUNDDOWN(SUMIF('Char Sheet p1'!$AP$7:$AP$35,DQ253,'Char Sheet p1'!$AQ$7:$AQ$35)/10,0))</f>
        <v>0</v>
      </c>
      <c r="DX253" s="240">
        <f t="shared" si="149"/>
        <v>0</v>
      </c>
      <c r="DY253" s="36">
        <f t="shared" si="189"/>
        <v>18</v>
      </c>
      <c r="DZ253" s="36" t="str">
        <f t="shared" si="144"/>
        <v/>
      </c>
      <c r="EE253" s="36">
        <f t="shared" si="188"/>
        <v>2</v>
      </c>
    </row>
    <row r="254" spans="33:135">
      <c r="AG254" s="61" t="s">
        <v>282</v>
      </c>
      <c r="AH254" s="62" t="s">
        <v>174</v>
      </c>
      <c r="AI254" s="62"/>
      <c r="AJ254" s="63"/>
      <c r="AK254" s="63">
        <v>1</v>
      </c>
      <c r="AL254" s="63"/>
      <c r="AM254" s="63">
        <v>1</v>
      </c>
      <c r="AN254" s="63">
        <f t="shared" si="187"/>
        <v>19</v>
      </c>
      <c r="AO254" s="66" t="s">
        <v>300</v>
      </c>
      <c r="AP254" s="134"/>
      <c r="AQ254" s="47"/>
      <c r="AR254" s="134"/>
      <c r="AS254" s="47"/>
      <c r="AT254" s="134"/>
      <c r="AU254" s="47"/>
      <c r="AV254" s="134"/>
      <c r="AW254" s="47"/>
      <c r="AX254" s="134"/>
      <c r="AY254" s="47"/>
      <c r="AZ254" s="134">
        <v>-1</v>
      </c>
      <c r="BA254" s="47"/>
      <c r="BB254" s="134"/>
      <c r="BC254" s="47"/>
      <c r="BD254" s="134"/>
      <c r="BE254" s="47"/>
      <c r="BF254" s="134"/>
      <c r="BG254" s="47"/>
      <c r="BH254" s="134"/>
      <c r="BI254" s="47"/>
      <c r="BJ254" s="134"/>
      <c r="BK254" s="47"/>
      <c r="BL254" s="134"/>
      <c r="BM254" s="47"/>
      <c r="BN254" s="134"/>
      <c r="BO254" s="47"/>
      <c r="BP254" s="134"/>
      <c r="BQ254" s="47"/>
      <c r="BR254" s="134"/>
      <c r="BS254" s="47"/>
      <c r="BT254" s="134"/>
      <c r="BU254" s="47"/>
      <c r="BV254" s="134"/>
      <c r="BW254" s="47"/>
      <c r="BX254" s="134"/>
      <c r="BY254" s="47"/>
      <c r="BZ254" s="134"/>
      <c r="CA254" s="47"/>
      <c r="CB254" s="127"/>
      <c r="CC254" s="127"/>
      <c r="CD254" s="127"/>
      <c r="CE254" s="127"/>
      <c r="CF254" s="127"/>
      <c r="CG254" s="127"/>
      <c r="CH254" s="127"/>
      <c r="CI254" s="127"/>
      <c r="CJ254" s="127"/>
      <c r="CK254" s="77">
        <f t="shared" si="161"/>
        <v>19</v>
      </c>
      <c r="CL254" s="37" t="str">
        <f t="shared" si="162"/>
        <v>Flaw - Endurance</v>
      </c>
      <c r="CM254" s="77">
        <f t="shared" si="163"/>
        <v>19</v>
      </c>
      <c r="CN254" s="37" t="str">
        <f t="shared" si="186"/>
        <v>Flaw - Endurance</v>
      </c>
      <c r="CO254" s="77">
        <f t="shared" si="164"/>
        <v>19</v>
      </c>
      <c r="CP254" s="37" t="str">
        <f t="shared" si="165"/>
        <v>Flaw - Endurance</v>
      </c>
      <c r="CQ254" s="77">
        <f t="shared" si="166"/>
        <v>19</v>
      </c>
      <c r="CR254" s="37" t="str">
        <f t="shared" si="167"/>
        <v>Flaw - Endurance</v>
      </c>
      <c r="CS254" s="77">
        <f t="shared" si="168"/>
        <v>19</v>
      </c>
      <c r="CT254" s="37" t="str">
        <f t="shared" si="169"/>
        <v>Flaw - Endurance</v>
      </c>
      <c r="CU254" s="77">
        <f t="shared" si="170"/>
        <v>19</v>
      </c>
      <c r="CV254" s="37" t="str">
        <f t="shared" si="171"/>
        <v>Flaw - Endurance</v>
      </c>
      <c r="CW254" s="77">
        <f t="shared" si="172"/>
        <v>19</v>
      </c>
      <c r="CX254" s="37" t="str">
        <f t="shared" si="173"/>
        <v>Flaw - Endurance</v>
      </c>
      <c r="DA254" s="77">
        <f t="shared" si="174"/>
        <v>19</v>
      </c>
      <c r="DB254" s="37" t="str">
        <f t="shared" si="175"/>
        <v>Flaw - Endurance</v>
      </c>
      <c r="DC254" s="77">
        <f t="shared" si="174"/>
        <v>19</v>
      </c>
      <c r="DD254" s="37" t="str">
        <f t="shared" si="176"/>
        <v>Flaw - Endurance</v>
      </c>
      <c r="DE254" s="77">
        <f t="shared" si="177"/>
        <v>19</v>
      </c>
      <c r="DF254" s="37" t="str">
        <f t="shared" si="178"/>
        <v>Flaw - Endurance</v>
      </c>
      <c r="DG254" s="77">
        <f t="shared" si="179"/>
        <v>19</v>
      </c>
      <c r="DH254" s="37" t="str">
        <f t="shared" si="180"/>
        <v>Flaw - Endurance</v>
      </c>
      <c r="DI254" s="77">
        <f t="shared" si="181"/>
        <v>19</v>
      </c>
      <c r="DJ254" s="37" t="str">
        <f t="shared" si="182"/>
        <v>Flaw - Endurance</v>
      </c>
      <c r="DK254" s="77">
        <f t="shared" si="183"/>
        <v>19</v>
      </c>
      <c r="DL254" s="37" t="str">
        <f t="shared" si="184"/>
        <v>Flaw - Endurance</v>
      </c>
      <c r="DN254" s="32">
        <v>253</v>
      </c>
      <c r="DO254" s="34" t="s">
        <v>686</v>
      </c>
      <c r="DP254" s="38">
        <f t="shared" si="185"/>
        <v>0</v>
      </c>
      <c r="DQ254" s="173" t="str">
        <f t="shared" si="147"/>
        <v>(Know) 0</v>
      </c>
      <c r="DR254" s="36" t="str">
        <f t="shared" si="148"/>
        <v/>
      </c>
      <c r="DV254" s="176">
        <f t="shared" si="143"/>
        <v>0</v>
      </c>
      <c r="DW254" s="243">
        <f>IF(COUNTIF('Char Sheet p1'!$AP$7:$AP$35,DQ254)=0,0,ROUNDDOWN(SUMIF('Char Sheet p1'!$AP$7:$AP$35,DQ254,'Char Sheet p1'!$AQ$7:$AQ$35)/10,0))</f>
        <v>0</v>
      </c>
      <c r="DX254" s="240">
        <f t="shared" si="149"/>
        <v>0</v>
      </c>
      <c r="DY254" s="36">
        <f t="shared" si="189"/>
        <v>19</v>
      </c>
      <c r="DZ254" s="36" t="str">
        <f t="shared" si="144"/>
        <v/>
      </c>
      <c r="EE254" s="36">
        <f t="shared" si="188"/>
        <v>2</v>
      </c>
    </row>
    <row r="255" spans="33:135">
      <c r="AG255" s="61" t="s">
        <v>283</v>
      </c>
      <c r="AH255" s="62" t="s">
        <v>174</v>
      </c>
      <c r="AI255" s="62"/>
      <c r="AJ255" s="63"/>
      <c r="AK255" s="63">
        <v>1</v>
      </c>
      <c r="AL255" s="63"/>
      <c r="AM255" s="63">
        <v>1</v>
      </c>
      <c r="AN255" s="63">
        <f t="shared" si="187"/>
        <v>20</v>
      </c>
      <c r="AO255" s="66" t="s">
        <v>301</v>
      </c>
      <c r="AP255" s="134"/>
      <c r="AQ255" s="47"/>
      <c r="AR255" s="134"/>
      <c r="AS255" s="47"/>
      <c r="AT255" s="134"/>
      <c r="AU255" s="47"/>
      <c r="AV255" s="134"/>
      <c r="AW255" s="47"/>
      <c r="AX255" s="134"/>
      <c r="AY255" s="47"/>
      <c r="AZ255" s="134"/>
      <c r="BA255" s="47"/>
      <c r="BB255" s="134">
        <v>-1</v>
      </c>
      <c r="BC255" s="47"/>
      <c r="BD255" s="134"/>
      <c r="BE255" s="47"/>
      <c r="BF255" s="134"/>
      <c r="BG255" s="47"/>
      <c r="BH255" s="134"/>
      <c r="BI255" s="47"/>
      <c r="BJ255" s="134"/>
      <c r="BK255" s="47"/>
      <c r="BL255" s="134"/>
      <c r="BM255" s="47"/>
      <c r="BN255" s="134"/>
      <c r="BO255" s="47"/>
      <c r="BP255" s="134"/>
      <c r="BQ255" s="47"/>
      <c r="BR255" s="134"/>
      <c r="BS255" s="47"/>
      <c r="BT255" s="134"/>
      <c r="BU255" s="47"/>
      <c r="BV255" s="134"/>
      <c r="BW255" s="47"/>
      <c r="BX255" s="134"/>
      <c r="BY255" s="47"/>
      <c r="BZ255" s="134"/>
      <c r="CA255" s="47"/>
      <c r="CB255" s="127"/>
      <c r="CC255" s="127"/>
      <c r="CD255" s="127"/>
      <c r="CE255" s="127"/>
      <c r="CF255" s="127">
        <v>-3</v>
      </c>
      <c r="CG255" s="127"/>
      <c r="CH255" s="127"/>
      <c r="CI255" s="127"/>
      <c r="CJ255" s="127"/>
      <c r="CK255" s="77">
        <f t="shared" si="161"/>
        <v>20</v>
      </c>
      <c r="CL255" s="37" t="str">
        <f t="shared" si="162"/>
        <v>Flaw - Fighting</v>
      </c>
      <c r="CM255" s="77">
        <f t="shared" si="163"/>
        <v>20</v>
      </c>
      <c r="CN255" s="37" t="str">
        <f t="shared" si="186"/>
        <v>Flaw - Fighting</v>
      </c>
      <c r="CO255" s="77">
        <f t="shared" si="164"/>
        <v>20</v>
      </c>
      <c r="CP255" s="37" t="str">
        <f t="shared" si="165"/>
        <v>Flaw - Fighting</v>
      </c>
      <c r="CQ255" s="77">
        <f t="shared" si="166"/>
        <v>20</v>
      </c>
      <c r="CR255" s="37" t="str">
        <f t="shared" si="167"/>
        <v>Flaw - Fighting</v>
      </c>
      <c r="CS255" s="77">
        <f t="shared" si="168"/>
        <v>20</v>
      </c>
      <c r="CT255" s="37" t="str">
        <f t="shared" si="169"/>
        <v>Flaw - Fighting</v>
      </c>
      <c r="CU255" s="77">
        <f t="shared" si="170"/>
        <v>20</v>
      </c>
      <c r="CV255" s="37" t="str">
        <f t="shared" si="171"/>
        <v>Flaw - Fighting</v>
      </c>
      <c r="CW255" s="77">
        <f t="shared" si="172"/>
        <v>20</v>
      </c>
      <c r="CX255" s="37" t="str">
        <f t="shared" si="173"/>
        <v>Flaw - Fighting</v>
      </c>
      <c r="DA255" s="77">
        <f t="shared" si="174"/>
        <v>20</v>
      </c>
      <c r="DB255" s="37" t="str">
        <f t="shared" si="175"/>
        <v>Flaw - Fighting</v>
      </c>
      <c r="DC255" s="77">
        <f t="shared" si="174"/>
        <v>20</v>
      </c>
      <c r="DD255" s="37" t="str">
        <f t="shared" si="176"/>
        <v>Flaw - Fighting</v>
      </c>
      <c r="DE255" s="77">
        <f t="shared" si="177"/>
        <v>20</v>
      </c>
      <c r="DF255" s="37" t="str">
        <f t="shared" si="178"/>
        <v>Flaw - Fighting</v>
      </c>
      <c r="DG255" s="77">
        <f t="shared" si="179"/>
        <v>20</v>
      </c>
      <c r="DH255" s="37" t="str">
        <f t="shared" si="180"/>
        <v>Flaw - Fighting</v>
      </c>
      <c r="DI255" s="77">
        <f t="shared" si="181"/>
        <v>20</v>
      </c>
      <c r="DJ255" s="37" t="str">
        <f t="shared" si="182"/>
        <v>Flaw - Fighting</v>
      </c>
      <c r="DK255" s="77">
        <f t="shared" si="183"/>
        <v>20</v>
      </c>
      <c r="DL255" s="37" t="str">
        <f t="shared" si="184"/>
        <v>Flaw - Fighting</v>
      </c>
      <c r="DN255" s="32">
        <v>254</v>
      </c>
      <c r="DO255" s="34" t="s">
        <v>686</v>
      </c>
      <c r="DP255" s="38">
        <f t="shared" si="185"/>
        <v>0</v>
      </c>
      <c r="DQ255" s="173" t="str">
        <f t="shared" si="147"/>
        <v>(Know) 0</v>
      </c>
      <c r="DR255" s="36" t="str">
        <f t="shared" si="148"/>
        <v/>
      </c>
      <c r="DV255" s="176">
        <f t="shared" si="143"/>
        <v>0</v>
      </c>
      <c r="DW255" s="243">
        <f>IF(COUNTIF('Char Sheet p1'!$AP$7:$AP$35,DQ255)=0,0,ROUNDDOWN(SUMIF('Char Sheet p1'!$AP$7:$AP$35,DQ255,'Char Sheet p1'!$AQ$7:$AQ$35)/10,0))</f>
        <v>0</v>
      </c>
      <c r="DX255" s="240">
        <f t="shared" si="149"/>
        <v>0</v>
      </c>
      <c r="DY255" s="36">
        <f t="shared" si="189"/>
        <v>20</v>
      </c>
      <c r="DZ255" s="36" t="str">
        <f t="shared" si="144"/>
        <v/>
      </c>
      <c r="EE255" s="36">
        <f t="shared" si="188"/>
        <v>2</v>
      </c>
    </row>
    <row r="256" spans="33:135">
      <c r="AG256" s="61" t="s">
        <v>284</v>
      </c>
      <c r="AH256" s="62" t="s">
        <v>174</v>
      </c>
      <c r="AI256" s="62"/>
      <c r="AJ256" s="63"/>
      <c r="AK256" s="63">
        <v>1</v>
      </c>
      <c r="AL256" s="63"/>
      <c r="AM256" s="63">
        <v>1</v>
      </c>
      <c r="AN256" s="63">
        <f t="shared" si="187"/>
        <v>21</v>
      </c>
      <c r="AO256" s="66" t="s">
        <v>302</v>
      </c>
      <c r="AP256" s="134"/>
      <c r="AQ256" s="47"/>
      <c r="AR256" s="134"/>
      <c r="AS256" s="47"/>
      <c r="AT256" s="134"/>
      <c r="AU256" s="47"/>
      <c r="AV256" s="134"/>
      <c r="AW256" s="47"/>
      <c r="AX256" s="134"/>
      <c r="AY256" s="47"/>
      <c r="AZ256" s="134"/>
      <c r="BA256" s="47"/>
      <c r="BB256" s="134"/>
      <c r="BC256" s="47"/>
      <c r="BD256" s="134">
        <v>-1</v>
      </c>
      <c r="BE256" s="47"/>
      <c r="BF256" s="134"/>
      <c r="BG256" s="47"/>
      <c r="BH256" s="134"/>
      <c r="BI256" s="47"/>
      <c r="BJ256" s="134"/>
      <c r="BK256" s="47"/>
      <c r="BL256" s="134"/>
      <c r="BM256" s="47"/>
      <c r="BN256" s="134"/>
      <c r="BO256" s="47"/>
      <c r="BP256" s="134"/>
      <c r="BQ256" s="47"/>
      <c r="BR256" s="134"/>
      <c r="BS256" s="47"/>
      <c r="BT256" s="134"/>
      <c r="BU256" s="47"/>
      <c r="BV256" s="134"/>
      <c r="BW256" s="47"/>
      <c r="BX256" s="134"/>
      <c r="BY256" s="47"/>
      <c r="BZ256" s="134"/>
      <c r="CA256" s="47"/>
      <c r="CB256" s="127"/>
      <c r="CC256" s="127"/>
      <c r="CD256" s="127"/>
      <c r="CE256" s="127"/>
      <c r="CF256" s="127"/>
      <c r="CG256" s="127"/>
      <c r="CH256" s="127"/>
      <c r="CI256" s="127"/>
      <c r="CJ256" s="127"/>
      <c r="CK256" s="77">
        <f t="shared" si="161"/>
        <v>21</v>
      </c>
      <c r="CL256" s="37" t="str">
        <f t="shared" si="162"/>
        <v>Flaw - Healing</v>
      </c>
      <c r="CM256" s="77">
        <f t="shared" si="163"/>
        <v>21</v>
      </c>
      <c r="CN256" s="37" t="str">
        <f t="shared" si="186"/>
        <v>Flaw - Healing</v>
      </c>
      <c r="CO256" s="77">
        <f t="shared" si="164"/>
        <v>21</v>
      </c>
      <c r="CP256" s="37" t="str">
        <f t="shared" si="165"/>
        <v>Flaw - Healing</v>
      </c>
      <c r="CQ256" s="77">
        <f t="shared" si="166"/>
        <v>21</v>
      </c>
      <c r="CR256" s="37" t="str">
        <f t="shared" si="167"/>
        <v>Flaw - Healing</v>
      </c>
      <c r="CS256" s="77">
        <f t="shared" si="168"/>
        <v>21</v>
      </c>
      <c r="CT256" s="37" t="str">
        <f t="shared" si="169"/>
        <v>Flaw - Healing</v>
      </c>
      <c r="CU256" s="77">
        <f t="shared" si="170"/>
        <v>21</v>
      </c>
      <c r="CV256" s="37" t="str">
        <f t="shared" si="171"/>
        <v>Flaw - Healing</v>
      </c>
      <c r="CW256" s="77">
        <f t="shared" si="172"/>
        <v>21</v>
      </c>
      <c r="CX256" s="37" t="str">
        <f t="shared" si="173"/>
        <v>Flaw - Healing</v>
      </c>
      <c r="DA256" s="77">
        <f t="shared" si="174"/>
        <v>21</v>
      </c>
      <c r="DB256" s="37" t="str">
        <f t="shared" si="175"/>
        <v>Flaw - Healing</v>
      </c>
      <c r="DC256" s="77">
        <f t="shared" si="174"/>
        <v>21</v>
      </c>
      <c r="DD256" s="37" t="str">
        <f t="shared" si="176"/>
        <v>Flaw - Healing</v>
      </c>
      <c r="DE256" s="77">
        <f t="shared" si="177"/>
        <v>21</v>
      </c>
      <c r="DF256" s="37" t="str">
        <f t="shared" si="178"/>
        <v>Flaw - Healing</v>
      </c>
      <c r="DG256" s="77">
        <f t="shared" si="179"/>
        <v>21</v>
      </c>
      <c r="DH256" s="37" t="str">
        <f t="shared" si="180"/>
        <v>Flaw - Healing</v>
      </c>
      <c r="DI256" s="77">
        <f t="shared" si="181"/>
        <v>21</v>
      </c>
      <c r="DJ256" s="37" t="str">
        <f t="shared" si="182"/>
        <v>Flaw - Healing</v>
      </c>
      <c r="DK256" s="77">
        <f t="shared" si="183"/>
        <v>21</v>
      </c>
      <c r="DL256" s="37" t="str">
        <f t="shared" si="184"/>
        <v>Flaw - Healing</v>
      </c>
      <c r="DN256" s="32">
        <v>255</v>
      </c>
      <c r="DO256" s="34" t="s">
        <v>686</v>
      </c>
      <c r="DP256" s="38">
        <f t="shared" si="185"/>
        <v>0</v>
      </c>
      <c r="DQ256" s="173" t="str">
        <f t="shared" si="147"/>
        <v>(Know) 0</v>
      </c>
      <c r="DR256" s="36" t="str">
        <f t="shared" si="148"/>
        <v/>
      </c>
      <c r="DV256" s="176">
        <f t="shared" si="143"/>
        <v>0</v>
      </c>
      <c r="DW256" s="243">
        <f>IF(COUNTIF('Char Sheet p1'!$AP$7:$AP$35,DQ256)=0,0,ROUNDDOWN(SUMIF('Char Sheet p1'!$AP$7:$AP$35,DQ256,'Char Sheet p1'!$AQ$7:$AQ$35)/10,0))</f>
        <v>0</v>
      </c>
      <c r="DX256" s="240">
        <f t="shared" si="149"/>
        <v>0</v>
      </c>
      <c r="DY256" s="36">
        <f t="shared" si="189"/>
        <v>21</v>
      </c>
      <c r="DZ256" s="36" t="str">
        <f t="shared" si="144"/>
        <v/>
      </c>
      <c r="EE256" s="36">
        <f t="shared" si="188"/>
        <v>2</v>
      </c>
    </row>
    <row r="257" spans="33:135">
      <c r="AG257" s="61" t="s">
        <v>285</v>
      </c>
      <c r="AH257" s="62" t="s">
        <v>174</v>
      </c>
      <c r="AI257" s="62"/>
      <c r="AJ257" s="63"/>
      <c r="AK257" s="63">
        <v>1</v>
      </c>
      <c r="AL257" s="63"/>
      <c r="AM257" s="63">
        <v>1</v>
      </c>
      <c r="AN257" s="63">
        <f t="shared" si="187"/>
        <v>22</v>
      </c>
      <c r="AO257" s="66" t="s">
        <v>303</v>
      </c>
      <c r="AP257" s="134"/>
      <c r="AQ257" s="47"/>
      <c r="AR257" s="134"/>
      <c r="AS257" s="47"/>
      <c r="AT257" s="134"/>
      <c r="AU257" s="47"/>
      <c r="AV257" s="134"/>
      <c r="AW257" s="47"/>
      <c r="AX257" s="134"/>
      <c r="AY257" s="47"/>
      <c r="AZ257" s="134"/>
      <c r="BA257" s="47"/>
      <c r="BB257" s="134"/>
      <c r="BC257" s="47"/>
      <c r="BD257" s="134"/>
      <c r="BE257" s="47"/>
      <c r="BF257" s="134">
        <v>-1</v>
      </c>
      <c r="BG257" s="47"/>
      <c r="BH257" s="134"/>
      <c r="BI257" s="47"/>
      <c r="BJ257" s="134"/>
      <c r="BK257" s="47"/>
      <c r="BL257" s="134"/>
      <c r="BM257" s="47"/>
      <c r="BN257" s="134"/>
      <c r="BO257" s="47"/>
      <c r="BP257" s="134"/>
      <c r="BQ257" s="47"/>
      <c r="BR257" s="134"/>
      <c r="BS257" s="47"/>
      <c r="BT257" s="134"/>
      <c r="BU257" s="47"/>
      <c r="BV257" s="134"/>
      <c r="BW257" s="47"/>
      <c r="BX257" s="134"/>
      <c r="BY257" s="47"/>
      <c r="BZ257" s="134"/>
      <c r="CA257" s="47"/>
      <c r="CB257" s="127"/>
      <c r="CC257" s="127"/>
      <c r="CD257" s="127"/>
      <c r="CE257" s="127"/>
      <c r="CF257" s="127"/>
      <c r="CG257" s="127"/>
      <c r="CH257" s="127"/>
      <c r="CI257" s="127"/>
      <c r="CJ257" s="127"/>
      <c r="CK257" s="77">
        <f t="shared" si="161"/>
        <v>22</v>
      </c>
      <c r="CL257" s="37" t="str">
        <f t="shared" si="162"/>
        <v>Flaw - Knowledge</v>
      </c>
      <c r="CM257" s="77">
        <f t="shared" si="163"/>
        <v>22</v>
      </c>
      <c r="CN257" s="37" t="str">
        <f t="shared" si="186"/>
        <v>Flaw - Knowledge</v>
      </c>
      <c r="CO257" s="77">
        <f t="shared" si="164"/>
        <v>22</v>
      </c>
      <c r="CP257" s="37" t="str">
        <f t="shared" si="165"/>
        <v>Flaw - Knowledge</v>
      </c>
      <c r="CQ257" s="77">
        <f t="shared" si="166"/>
        <v>22</v>
      </c>
      <c r="CR257" s="37" t="str">
        <f t="shared" si="167"/>
        <v>Flaw - Knowledge</v>
      </c>
      <c r="CS257" s="77">
        <f t="shared" si="168"/>
        <v>22</v>
      </c>
      <c r="CT257" s="37" t="str">
        <f t="shared" si="169"/>
        <v>Flaw - Knowledge</v>
      </c>
      <c r="CU257" s="77">
        <f t="shared" si="170"/>
        <v>22</v>
      </c>
      <c r="CV257" s="37" t="str">
        <f t="shared" si="171"/>
        <v>Flaw - Knowledge</v>
      </c>
      <c r="CW257" s="77">
        <f t="shared" si="172"/>
        <v>22</v>
      </c>
      <c r="CX257" s="37" t="str">
        <f t="shared" si="173"/>
        <v>Flaw - Knowledge</v>
      </c>
      <c r="DA257" s="77">
        <f t="shared" si="174"/>
        <v>22</v>
      </c>
      <c r="DB257" s="37" t="str">
        <f t="shared" si="175"/>
        <v>Flaw - Knowledge</v>
      </c>
      <c r="DC257" s="77">
        <f t="shared" si="174"/>
        <v>22</v>
      </c>
      <c r="DD257" s="37" t="str">
        <f t="shared" si="176"/>
        <v>Flaw - Knowledge</v>
      </c>
      <c r="DE257" s="77">
        <f t="shared" si="177"/>
        <v>22</v>
      </c>
      <c r="DF257" s="37" t="str">
        <f t="shared" si="178"/>
        <v>Flaw - Knowledge</v>
      </c>
      <c r="DG257" s="77">
        <f t="shared" si="179"/>
        <v>22</v>
      </c>
      <c r="DH257" s="37" t="str">
        <f t="shared" si="180"/>
        <v>Flaw - Knowledge</v>
      </c>
      <c r="DI257" s="77">
        <f t="shared" si="181"/>
        <v>22</v>
      </c>
      <c r="DJ257" s="37" t="str">
        <f t="shared" si="182"/>
        <v>Flaw - Knowledge</v>
      </c>
      <c r="DK257" s="77">
        <f t="shared" si="183"/>
        <v>22</v>
      </c>
      <c r="DL257" s="37" t="str">
        <f t="shared" si="184"/>
        <v>Flaw - Knowledge</v>
      </c>
      <c r="DN257" s="32">
        <v>256</v>
      </c>
      <c r="DO257" s="34" t="s">
        <v>686</v>
      </c>
      <c r="DP257" s="38">
        <f t="shared" si="185"/>
        <v>0</v>
      </c>
      <c r="DQ257" s="173" t="str">
        <f t="shared" si="147"/>
        <v>(Know) 0</v>
      </c>
      <c r="DR257" s="36" t="str">
        <f t="shared" si="148"/>
        <v/>
      </c>
      <c r="DV257" s="176">
        <f t="shared" si="143"/>
        <v>0</v>
      </c>
      <c r="DW257" s="243">
        <f>IF(COUNTIF('Char Sheet p1'!$AP$7:$AP$35,DQ257)=0,0,ROUNDDOWN(SUMIF('Char Sheet p1'!$AP$7:$AP$35,DQ257,'Char Sheet p1'!$AQ$7:$AQ$35)/10,0))</f>
        <v>0</v>
      </c>
      <c r="DX257" s="240">
        <f t="shared" si="149"/>
        <v>0</v>
      </c>
      <c r="DY257" s="36">
        <f t="shared" si="189"/>
        <v>22</v>
      </c>
      <c r="DZ257" s="36" t="str">
        <f t="shared" si="144"/>
        <v/>
      </c>
      <c r="EE257" s="36">
        <f t="shared" si="188"/>
        <v>2</v>
      </c>
    </row>
    <row r="258" spans="33:135">
      <c r="AG258" s="61" t="s">
        <v>286</v>
      </c>
      <c r="AH258" s="62" t="s">
        <v>174</v>
      </c>
      <c r="AI258" s="62"/>
      <c r="AJ258" s="63"/>
      <c r="AK258" s="63">
        <v>1</v>
      </c>
      <c r="AL258" s="63"/>
      <c r="AM258" s="63">
        <v>1</v>
      </c>
      <c r="AN258" s="63">
        <f t="shared" si="187"/>
        <v>23</v>
      </c>
      <c r="AO258" s="66" t="s">
        <v>304</v>
      </c>
      <c r="AP258" s="134"/>
      <c r="AQ258" s="47"/>
      <c r="AR258" s="134"/>
      <c r="AS258" s="47"/>
      <c r="AT258" s="134"/>
      <c r="AU258" s="47"/>
      <c r="AV258" s="134"/>
      <c r="AW258" s="47"/>
      <c r="AX258" s="134"/>
      <c r="AY258" s="47"/>
      <c r="AZ258" s="134"/>
      <c r="BA258" s="47"/>
      <c r="BB258" s="134"/>
      <c r="BC258" s="47"/>
      <c r="BD258" s="134"/>
      <c r="BE258" s="47"/>
      <c r="BF258" s="134"/>
      <c r="BG258" s="47"/>
      <c r="BH258" s="134">
        <v>-1</v>
      </c>
      <c r="BI258" s="47"/>
      <c r="BJ258" s="134"/>
      <c r="BK258" s="47"/>
      <c r="BL258" s="134"/>
      <c r="BM258" s="47"/>
      <c r="BN258" s="134"/>
      <c r="BO258" s="47"/>
      <c r="BP258" s="134"/>
      <c r="BQ258" s="47"/>
      <c r="BR258" s="134"/>
      <c r="BS258" s="47"/>
      <c r="BT258" s="134"/>
      <c r="BU258" s="47"/>
      <c r="BV258" s="134"/>
      <c r="BW258" s="47"/>
      <c r="BX258" s="134"/>
      <c r="BY258" s="47"/>
      <c r="BZ258" s="134"/>
      <c r="CA258" s="47"/>
      <c r="CB258" s="127"/>
      <c r="CC258" s="127"/>
      <c r="CD258" s="127"/>
      <c r="CE258" s="127"/>
      <c r="CF258" s="127"/>
      <c r="CG258" s="127"/>
      <c r="CH258" s="127"/>
      <c r="CI258" s="127"/>
      <c r="CJ258" s="127"/>
      <c r="CK258" s="77">
        <f t="shared" si="161"/>
        <v>23</v>
      </c>
      <c r="CL258" s="37" t="str">
        <f t="shared" si="162"/>
        <v>Flaw - Language</v>
      </c>
      <c r="CM258" s="77">
        <f t="shared" si="163"/>
        <v>23</v>
      </c>
      <c r="CN258" s="37" t="str">
        <f t="shared" si="186"/>
        <v>Flaw - Language</v>
      </c>
      <c r="CO258" s="77">
        <f t="shared" si="164"/>
        <v>23</v>
      </c>
      <c r="CP258" s="37" t="str">
        <f t="shared" si="165"/>
        <v>Flaw - Language</v>
      </c>
      <c r="CQ258" s="77">
        <f t="shared" si="166"/>
        <v>23</v>
      </c>
      <c r="CR258" s="37" t="str">
        <f t="shared" si="167"/>
        <v>Flaw - Language</v>
      </c>
      <c r="CS258" s="77">
        <f t="shared" si="168"/>
        <v>23</v>
      </c>
      <c r="CT258" s="37" t="str">
        <f t="shared" si="169"/>
        <v>Flaw - Language</v>
      </c>
      <c r="CU258" s="77">
        <f t="shared" si="170"/>
        <v>23</v>
      </c>
      <c r="CV258" s="37" t="str">
        <f t="shared" si="171"/>
        <v>Flaw - Language</v>
      </c>
      <c r="CW258" s="77">
        <f t="shared" si="172"/>
        <v>23</v>
      </c>
      <c r="CX258" s="37" t="str">
        <f t="shared" si="173"/>
        <v>Flaw - Language</v>
      </c>
      <c r="DA258" s="77">
        <f t="shared" si="174"/>
        <v>23</v>
      </c>
      <c r="DB258" s="37" t="str">
        <f t="shared" si="175"/>
        <v>Flaw - Language</v>
      </c>
      <c r="DC258" s="77">
        <f t="shared" si="174"/>
        <v>23</v>
      </c>
      <c r="DD258" s="37" t="str">
        <f t="shared" si="176"/>
        <v>Flaw - Language</v>
      </c>
      <c r="DE258" s="77">
        <f t="shared" si="177"/>
        <v>23</v>
      </c>
      <c r="DF258" s="37" t="str">
        <f t="shared" si="178"/>
        <v>Flaw - Language</v>
      </c>
      <c r="DG258" s="77">
        <f t="shared" si="179"/>
        <v>23</v>
      </c>
      <c r="DH258" s="37" t="str">
        <f t="shared" si="180"/>
        <v>Flaw - Language</v>
      </c>
      <c r="DI258" s="77">
        <f t="shared" si="181"/>
        <v>23</v>
      </c>
      <c r="DJ258" s="37" t="str">
        <f t="shared" si="182"/>
        <v>Flaw - Language</v>
      </c>
      <c r="DK258" s="77">
        <f t="shared" si="183"/>
        <v>23</v>
      </c>
      <c r="DL258" s="37" t="str">
        <f t="shared" si="184"/>
        <v>Flaw - Language</v>
      </c>
      <c r="DN258" s="32">
        <v>257</v>
      </c>
      <c r="DO258" s="34" t="s">
        <v>686</v>
      </c>
      <c r="DP258" s="38">
        <f t="shared" si="185"/>
        <v>0</v>
      </c>
      <c r="DQ258" s="173" t="str">
        <f t="shared" si="147"/>
        <v>(Know) 0</v>
      </c>
      <c r="DR258" s="36" t="str">
        <f t="shared" si="148"/>
        <v/>
      </c>
      <c r="DV258" s="176">
        <f t="shared" ref="DV258:DV321" si="190">IF(DP258=0,0,SUMIF($DT$2:$DT$58,DP258,$DU$2:$DU$58))</f>
        <v>0</v>
      </c>
      <c r="DW258" s="243">
        <f>IF(COUNTIF('Char Sheet p1'!$AP$7:$AP$35,DQ258)=0,0,ROUNDDOWN(SUMIF('Char Sheet p1'!$AP$7:$AP$35,DQ258,'Char Sheet p1'!$AQ$7:$AQ$35)/10,0))</f>
        <v>0</v>
      </c>
      <c r="DX258" s="240">
        <f t="shared" si="149"/>
        <v>0</v>
      </c>
      <c r="DY258" s="36">
        <f t="shared" si="189"/>
        <v>23</v>
      </c>
      <c r="DZ258" s="36" t="str">
        <f t="shared" ref="DZ258:DZ321" si="191">IF(DX258=0,"",IF(endchargen=0,"",DY258))</f>
        <v/>
      </c>
      <c r="EE258" s="36">
        <f t="shared" si="188"/>
        <v>2</v>
      </c>
    </row>
    <row r="259" spans="33:135">
      <c r="AG259" s="61" t="s">
        <v>287</v>
      </c>
      <c r="AH259" s="62" t="s">
        <v>174</v>
      </c>
      <c r="AI259" s="62"/>
      <c r="AJ259" s="63"/>
      <c r="AK259" s="63">
        <v>1</v>
      </c>
      <c r="AL259" s="63"/>
      <c r="AM259" s="63">
        <v>1</v>
      </c>
      <c r="AN259" s="63">
        <f t="shared" si="187"/>
        <v>24</v>
      </c>
      <c r="AO259" s="66" t="s">
        <v>305</v>
      </c>
      <c r="AP259" s="134"/>
      <c r="AQ259" s="47"/>
      <c r="AR259" s="134"/>
      <c r="AS259" s="47"/>
      <c r="AT259" s="134"/>
      <c r="AU259" s="47"/>
      <c r="AV259" s="134"/>
      <c r="AW259" s="47"/>
      <c r="AX259" s="134"/>
      <c r="AY259" s="47"/>
      <c r="AZ259" s="134"/>
      <c r="BA259" s="47"/>
      <c r="BB259" s="134"/>
      <c r="BC259" s="47"/>
      <c r="BD259" s="134"/>
      <c r="BE259" s="47"/>
      <c r="BF259" s="134"/>
      <c r="BG259" s="47"/>
      <c r="BH259" s="134"/>
      <c r="BI259" s="47"/>
      <c r="BJ259" s="134">
        <v>-1</v>
      </c>
      <c r="BK259" s="47"/>
      <c r="BL259" s="134"/>
      <c r="BM259" s="47"/>
      <c r="BN259" s="134"/>
      <c r="BO259" s="47"/>
      <c r="BP259" s="134"/>
      <c r="BQ259" s="47"/>
      <c r="BR259" s="134"/>
      <c r="BS259" s="47"/>
      <c r="BT259" s="134"/>
      <c r="BU259" s="47"/>
      <c r="BV259" s="134"/>
      <c r="BW259" s="47"/>
      <c r="BX259" s="134"/>
      <c r="BY259" s="47"/>
      <c r="BZ259" s="134"/>
      <c r="CA259" s="47"/>
      <c r="CB259" s="127"/>
      <c r="CC259" s="127"/>
      <c r="CD259" s="127"/>
      <c r="CE259" s="127"/>
      <c r="CF259" s="127"/>
      <c r="CG259" s="127"/>
      <c r="CH259" s="127"/>
      <c r="CI259" s="127"/>
      <c r="CJ259" s="127"/>
      <c r="CK259" s="77">
        <f t="shared" si="161"/>
        <v>24</v>
      </c>
      <c r="CL259" s="37" t="str">
        <f t="shared" si="162"/>
        <v>Flaw - Marksmanship</v>
      </c>
      <c r="CM259" s="77">
        <f t="shared" si="163"/>
        <v>24</v>
      </c>
      <c r="CN259" s="37" t="str">
        <f t="shared" si="186"/>
        <v>Flaw - Marksmanship</v>
      </c>
      <c r="CO259" s="77">
        <f t="shared" si="164"/>
        <v>24</v>
      </c>
      <c r="CP259" s="37" t="str">
        <f t="shared" si="165"/>
        <v>Flaw - Marksmanship</v>
      </c>
      <c r="CQ259" s="77">
        <f t="shared" si="166"/>
        <v>24</v>
      </c>
      <c r="CR259" s="37" t="str">
        <f t="shared" si="167"/>
        <v>Flaw - Marksmanship</v>
      </c>
      <c r="CS259" s="77">
        <f t="shared" si="168"/>
        <v>24</v>
      </c>
      <c r="CT259" s="37" t="str">
        <f t="shared" si="169"/>
        <v>Flaw - Marksmanship</v>
      </c>
      <c r="CU259" s="77">
        <f t="shared" si="170"/>
        <v>24</v>
      </c>
      <c r="CV259" s="37" t="str">
        <f t="shared" si="171"/>
        <v>Flaw - Marksmanship</v>
      </c>
      <c r="CW259" s="77">
        <f t="shared" si="172"/>
        <v>24</v>
      </c>
      <c r="CX259" s="37" t="str">
        <f t="shared" si="173"/>
        <v>Flaw - Marksmanship</v>
      </c>
      <c r="DA259" s="77">
        <f t="shared" si="174"/>
        <v>24</v>
      </c>
      <c r="DB259" s="37" t="str">
        <f t="shared" si="175"/>
        <v>Flaw - Marksmanship</v>
      </c>
      <c r="DC259" s="77">
        <f t="shared" si="174"/>
        <v>24</v>
      </c>
      <c r="DD259" s="37" t="str">
        <f t="shared" si="176"/>
        <v>Flaw - Marksmanship</v>
      </c>
      <c r="DE259" s="77">
        <f t="shared" si="177"/>
        <v>24</v>
      </c>
      <c r="DF259" s="37" t="str">
        <f t="shared" si="178"/>
        <v>Flaw - Marksmanship</v>
      </c>
      <c r="DG259" s="77">
        <f t="shared" si="179"/>
        <v>24</v>
      </c>
      <c r="DH259" s="37" t="str">
        <f t="shared" si="180"/>
        <v>Flaw - Marksmanship</v>
      </c>
      <c r="DI259" s="77">
        <f t="shared" si="181"/>
        <v>24</v>
      </c>
      <c r="DJ259" s="37" t="str">
        <f t="shared" si="182"/>
        <v>Flaw - Marksmanship</v>
      </c>
      <c r="DK259" s="77">
        <f t="shared" si="183"/>
        <v>24</v>
      </c>
      <c r="DL259" s="37" t="str">
        <f t="shared" si="184"/>
        <v>Flaw - Marksmanship</v>
      </c>
      <c r="DN259" s="32">
        <v>258</v>
      </c>
      <c r="DO259" s="34" t="s">
        <v>686</v>
      </c>
      <c r="DP259" s="38">
        <f t="shared" si="185"/>
        <v>0</v>
      </c>
      <c r="DQ259" s="173" t="str">
        <f t="shared" ref="DQ259:DQ322" si="192">"("&amp;LEFT(DO259,4)&amp;") "&amp;DP259</f>
        <v>(Know) 0</v>
      </c>
      <c r="DR259" s="36" t="str">
        <f t="shared" ref="DR259:DR322" si="193">IF(DP259=0,"",DN259)</f>
        <v/>
      </c>
      <c r="DV259" s="176">
        <f t="shared" si="190"/>
        <v>0</v>
      </c>
      <c r="DW259" s="243">
        <f>IF(COUNTIF('Char Sheet p1'!$AP$7:$AP$35,DQ259)=0,0,ROUNDDOWN(SUMIF('Char Sheet p1'!$AP$7:$AP$35,DQ259,'Char Sheet p1'!$AQ$7:$AQ$35)/10,0))</f>
        <v>0</v>
      </c>
      <c r="DX259" s="240">
        <f t="shared" ref="DX259:DX322" si="194">DW259+DV259</f>
        <v>0</v>
      </c>
      <c r="DY259" s="36">
        <f t="shared" si="189"/>
        <v>24</v>
      </c>
      <c r="DZ259" s="36" t="str">
        <f t="shared" si="191"/>
        <v/>
      </c>
      <c r="EE259" s="36">
        <f t="shared" si="188"/>
        <v>2</v>
      </c>
    </row>
    <row r="260" spans="33:135">
      <c r="AG260" s="61" t="s">
        <v>314</v>
      </c>
      <c r="AH260" s="62" t="s">
        <v>174</v>
      </c>
      <c r="AI260" s="62"/>
      <c r="AJ260" s="63"/>
      <c r="AK260" s="63">
        <v>1</v>
      </c>
      <c r="AL260" s="63"/>
      <c r="AM260" s="63">
        <v>1</v>
      </c>
      <c r="AN260" s="63">
        <f t="shared" si="187"/>
        <v>25</v>
      </c>
      <c r="AO260" s="66" t="s">
        <v>306</v>
      </c>
      <c r="AP260" s="134"/>
      <c r="AQ260" s="47"/>
      <c r="AR260" s="134"/>
      <c r="AS260" s="47"/>
      <c r="AT260" s="134"/>
      <c r="AU260" s="47"/>
      <c r="AV260" s="134"/>
      <c r="AW260" s="47"/>
      <c r="AX260" s="134"/>
      <c r="AY260" s="47"/>
      <c r="AZ260" s="134"/>
      <c r="BA260" s="47"/>
      <c r="BB260" s="134"/>
      <c r="BC260" s="47"/>
      <c r="BD260" s="134"/>
      <c r="BE260" s="47"/>
      <c r="BF260" s="134"/>
      <c r="BG260" s="47"/>
      <c r="BH260" s="134"/>
      <c r="BI260" s="47"/>
      <c r="BJ260" s="134"/>
      <c r="BK260" s="47"/>
      <c r="BL260" s="134">
        <v>-1</v>
      </c>
      <c r="BM260" s="47"/>
      <c r="BN260" s="134"/>
      <c r="BO260" s="47"/>
      <c r="BP260" s="134"/>
      <c r="BQ260" s="47"/>
      <c r="BR260" s="134"/>
      <c r="BS260" s="47"/>
      <c r="BT260" s="134"/>
      <c r="BU260" s="47"/>
      <c r="BV260" s="134"/>
      <c r="BW260" s="47"/>
      <c r="BX260" s="134"/>
      <c r="BY260" s="47"/>
      <c r="BZ260" s="134"/>
      <c r="CA260" s="47"/>
      <c r="CB260" s="127"/>
      <c r="CC260" s="127"/>
      <c r="CD260" s="127"/>
      <c r="CE260" s="127"/>
      <c r="CF260" s="127"/>
      <c r="CG260" s="127"/>
      <c r="CH260" s="127"/>
      <c r="CI260" s="127"/>
      <c r="CJ260" s="127"/>
      <c r="CK260" s="77">
        <f t="shared" si="161"/>
        <v>25</v>
      </c>
      <c r="CL260" s="37" t="str">
        <f t="shared" si="162"/>
        <v>Flaw - Persuasion</v>
      </c>
      <c r="CM260" s="77">
        <f t="shared" si="163"/>
        <v>25</v>
      </c>
      <c r="CN260" s="37" t="str">
        <f t="shared" si="186"/>
        <v>Flaw - Persuasion</v>
      </c>
      <c r="CO260" s="77">
        <f t="shared" si="164"/>
        <v>25</v>
      </c>
      <c r="CP260" s="37" t="str">
        <f t="shared" si="165"/>
        <v>Flaw - Persuasion</v>
      </c>
      <c r="CQ260" s="77">
        <f t="shared" si="166"/>
        <v>25</v>
      </c>
      <c r="CR260" s="37" t="str">
        <f t="shared" si="167"/>
        <v>Flaw - Persuasion</v>
      </c>
      <c r="CS260" s="77">
        <f t="shared" si="168"/>
        <v>25</v>
      </c>
      <c r="CT260" s="37" t="str">
        <f t="shared" si="169"/>
        <v>Flaw - Persuasion</v>
      </c>
      <c r="CU260" s="77">
        <f t="shared" si="170"/>
        <v>25</v>
      </c>
      <c r="CV260" s="37" t="str">
        <f t="shared" si="171"/>
        <v>Flaw - Persuasion</v>
      </c>
      <c r="CW260" s="77">
        <f t="shared" si="172"/>
        <v>25</v>
      </c>
      <c r="CX260" s="37" t="str">
        <f t="shared" si="173"/>
        <v>Flaw - Persuasion</v>
      </c>
      <c r="DA260" s="77">
        <f t="shared" si="174"/>
        <v>25</v>
      </c>
      <c r="DB260" s="37" t="str">
        <f t="shared" si="175"/>
        <v>Flaw - Persuasion</v>
      </c>
      <c r="DC260" s="77">
        <f t="shared" si="174"/>
        <v>25</v>
      </c>
      <c r="DD260" s="37" t="str">
        <f t="shared" si="176"/>
        <v>Flaw - Persuasion</v>
      </c>
      <c r="DE260" s="77">
        <f t="shared" si="177"/>
        <v>25</v>
      </c>
      <c r="DF260" s="37" t="str">
        <f t="shared" si="178"/>
        <v>Flaw - Persuasion</v>
      </c>
      <c r="DG260" s="77">
        <f t="shared" si="179"/>
        <v>25</v>
      </c>
      <c r="DH260" s="37" t="str">
        <f t="shared" si="180"/>
        <v>Flaw - Persuasion</v>
      </c>
      <c r="DI260" s="77">
        <f t="shared" si="181"/>
        <v>25</v>
      </c>
      <c r="DJ260" s="37" t="str">
        <f t="shared" si="182"/>
        <v>Flaw - Persuasion</v>
      </c>
      <c r="DK260" s="77">
        <f t="shared" si="183"/>
        <v>25</v>
      </c>
      <c r="DL260" s="37" t="str">
        <f t="shared" si="184"/>
        <v>Flaw - Persuasion</v>
      </c>
      <c r="DN260" s="32">
        <v>259</v>
      </c>
      <c r="DO260" s="34" t="s">
        <v>686</v>
      </c>
      <c r="DP260" s="38">
        <f t="shared" si="185"/>
        <v>0</v>
      </c>
      <c r="DQ260" s="173" t="str">
        <f t="shared" si="192"/>
        <v>(Know) 0</v>
      </c>
      <c r="DR260" s="36" t="str">
        <f t="shared" si="193"/>
        <v/>
      </c>
      <c r="DV260" s="176">
        <f t="shared" si="190"/>
        <v>0</v>
      </c>
      <c r="DW260" s="243">
        <f>IF(COUNTIF('Char Sheet p1'!$AP$7:$AP$35,DQ260)=0,0,ROUNDDOWN(SUMIF('Char Sheet p1'!$AP$7:$AP$35,DQ260,'Char Sheet p1'!$AQ$7:$AQ$35)/10,0))</f>
        <v>0</v>
      </c>
      <c r="DX260" s="240">
        <f t="shared" si="194"/>
        <v>0</v>
      </c>
      <c r="DY260" s="36">
        <f t="shared" si="189"/>
        <v>25</v>
      </c>
      <c r="DZ260" s="36" t="str">
        <f t="shared" si="191"/>
        <v/>
      </c>
      <c r="EE260" s="36">
        <f t="shared" si="188"/>
        <v>2</v>
      </c>
    </row>
    <row r="261" spans="33:135">
      <c r="AG261" s="61" t="s">
        <v>288</v>
      </c>
      <c r="AH261" s="62" t="s">
        <v>174</v>
      </c>
      <c r="AI261" s="62"/>
      <c r="AJ261" s="63"/>
      <c r="AK261" s="63">
        <v>1</v>
      </c>
      <c r="AL261" s="63"/>
      <c r="AM261" s="63">
        <v>1</v>
      </c>
      <c r="AN261" s="63">
        <f t="shared" si="187"/>
        <v>26</v>
      </c>
      <c r="AO261" s="66" t="s">
        <v>307</v>
      </c>
      <c r="AP261" s="134"/>
      <c r="AQ261" s="47"/>
      <c r="AR261" s="134"/>
      <c r="AS261" s="47"/>
      <c r="AT261" s="134"/>
      <c r="AU261" s="47"/>
      <c r="AV261" s="134"/>
      <c r="AW261" s="47"/>
      <c r="AX261" s="134"/>
      <c r="AY261" s="47"/>
      <c r="AZ261" s="134"/>
      <c r="BA261" s="47"/>
      <c r="BB261" s="134"/>
      <c r="BC261" s="47"/>
      <c r="BD261" s="134"/>
      <c r="BE261" s="47"/>
      <c r="BF261" s="134"/>
      <c r="BG261" s="47"/>
      <c r="BH261" s="134"/>
      <c r="BI261" s="47"/>
      <c r="BJ261" s="134"/>
      <c r="BK261" s="47"/>
      <c r="BL261" s="134"/>
      <c r="BM261" s="47"/>
      <c r="BN261" s="134">
        <v>-1</v>
      </c>
      <c r="BO261" s="47"/>
      <c r="BP261" s="134"/>
      <c r="BQ261" s="47"/>
      <c r="BR261" s="134"/>
      <c r="BS261" s="47"/>
      <c r="BT261" s="134"/>
      <c r="BU261" s="47"/>
      <c r="BV261" s="134"/>
      <c r="BW261" s="47"/>
      <c r="BX261" s="134"/>
      <c r="BY261" s="47"/>
      <c r="BZ261" s="134"/>
      <c r="CA261" s="47"/>
      <c r="CB261" s="127"/>
      <c r="CC261" s="127"/>
      <c r="CD261" s="127"/>
      <c r="CE261" s="127"/>
      <c r="CF261" s="127"/>
      <c r="CG261" s="127"/>
      <c r="CH261" s="127"/>
      <c r="CI261" s="127"/>
      <c r="CJ261" s="127"/>
      <c r="CK261" s="77">
        <f t="shared" si="161"/>
        <v>26</v>
      </c>
      <c r="CL261" s="37" t="str">
        <f t="shared" si="162"/>
        <v>Flaw - Status</v>
      </c>
      <c r="CM261" s="77">
        <f t="shared" si="163"/>
        <v>26</v>
      </c>
      <c r="CN261" s="37" t="str">
        <f t="shared" si="186"/>
        <v>Flaw - Status</v>
      </c>
      <c r="CO261" s="77">
        <f t="shared" si="164"/>
        <v>26</v>
      </c>
      <c r="CP261" s="37" t="str">
        <f t="shared" si="165"/>
        <v>Flaw - Status</v>
      </c>
      <c r="CQ261" s="77">
        <f t="shared" si="166"/>
        <v>26</v>
      </c>
      <c r="CR261" s="37" t="str">
        <f t="shared" si="167"/>
        <v>Flaw - Status</v>
      </c>
      <c r="CS261" s="77">
        <f t="shared" si="168"/>
        <v>26</v>
      </c>
      <c r="CT261" s="37" t="str">
        <f t="shared" si="169"/>
        <v>Flaw - Status</v>
      </c>
      <c r="CU261" s="77">
        <f t="shared" si="170"/>
        <v>26</v>
      </c>
      <c r="CV261" s="37" t="str">
        <f t="shared" si="171"/>
        <v>Flaw - Status</v>
      </c>
      <c r="CW261" s="77">
        <f t="shared" si="172"/>
        <v>26</v>
      </c>
      <c r="CX261" s="37" t="str">
        <f t="shared" si="173"/>
        <v>Flaw - Status</v>
      </c>
      <c r="DA261" s="77">
        <f t="shared" si="174"/>
        <v>26</v>
      </c>
      <c r="DB261" s="37" t="str">
        <f t="shared" si="175"/>
        <v>Flaw - Status</v>
      </c>
      <c r="DC261" s="77">
        <f t="shared" si="174"/>
        <v>26</v>
      </c>
      <c r="DD261" s="37" t="str">
        <f t="shared" si="176"/>
        <v>Flaw - Status</v>
      </c>
      <c r="DE261" s="77">
        <f t="shared" si="177"/>
        <v>26</v>
      </c>
      <c r="DF261" s="37" t="str">
        <f t="shared" si="178"/>
        <v>Flaw - Status</v>
      </c>
      <c r="DG261" s="77">
        <f t="shared" si="179"/>
        <v>26</v>
      </c>
      <c r="DH261" s="37" t="str">
        <f t="shared" si="180"/>
        <v>Flaw - Status</v>
      </c>
      <c r="DI261" s="77">
        <f t="shared" si="181"/>
        <v>26</v>
      </c>
      <c r="DJ261" s="37" t="str">
        <f t="shared" si="182"/>
        <v>Flaw - Status</v>
      </c>
      <c r="DK261" s="77">
        <f t="shared" si="183"/>
        <v>26</v>
      </c>
      <c r="DL261" s="37" t="str">
        <f t="shared" si="184"/>
        <v>Flaw - Status</v>
      </c>
      <c r="DN261" s="32">
        <v>260</v>
      </c>
      <c r="DO261" s="34" t="s">
        <v>686</v>
      </c>
      <c r="DP261" s="38">
        <f t="shared" si="185"/>
        <v>0</v>
      </c>
      <c r="DQ261" s="173" t="str">
        <f t="shared" si="192"/>
        <v>(Know) 0</v>
      </c>
      <c r="DR261" s="36" t="str">
        <f t="shared" si="193"/>
        <v/>
      </c>
      <c r="DV261" s="176">
        <f t="shared" si="190"/>
        <v>0</v>
      </c>
      <c r="DW261" s="243">
        <f>IF(COUNTIF('Char Sheet p1'!$AP$7:$AP$35,DQ261)=0,0,ROUNDDOWN(SUMIF('Char Sheet p1'!$AP$7:$AP$35,DQ261,'Char Sheet p1'!$AQ$7:$AQ$35)/10,0))</f>
        <v>0</v>
      </c>
      <c r="DX261" s="240">
        <f t="shared" si="194"/>
        <v>0</v>
      </c>
      <c r="DY261" s="36">
        <f t="shared" si="189"/>
        <v>26</v>
      </c>
      <c r="DZ261" s="36" t="str">
        <f t="shared" si="191"/>
        <v/>
      </c>
      <c r="EE261" s="55">
        <f t="shared" si="188"/>
        <v>2</v>
      </c>
    </row>
    <row r="262" spans="33:135">
      <c r="AG262" s="61" t="s">
        <v>289</v>
      </c>
      <c r="AH262" s="62" t="s">
        <v>174</v>
      </c>
      <c r="AI262" s="62"/>
      <c r="AJ262" s="63"/>
      <c r="AK262" s="63">
        <v>1</v>
      </c>
      <c r="AL262" s="63"/>
      <c r="AM262" s="63">
        <v>1</v>
      </c>
      <c r="AN262" s="63">
        <f t="shared" si="187"/>
        <v>27</v>
      </c>
      <c r="AO262" s="66" t="s">
        <v>308</v>
      </c>
      <c r="AP262" s="134"/>
      <c r="AQ262" s="47"/>
      <c r="AR262" s="134"/>
      <c r="AS262" s="47"/>
      <c r="AT262" s="134"/>
      <c r="AU262" s="47"/>
      <c r="AV262" s="134"/>
      <c r="AW262" s="47"/>
      <c r="AX262" s="134"/>
      <c r="AY262" s="47"/>
      <c r="AZ262" s="134"/>
      <c r="BA262" s="47"/>
      <c r="BB262" s="134"/>
      <c r="BC262" s="47"/>
      <c r="BD262" s="134"/>
      <c r="BE262" s="47"/>
      <c r="BF262" s="134"/>
      <c r="BG262" s="47"/>
      <c r="BH262" s="134"/>
      <c r="BI262" s="47"/>
      <c r="BJ262" s="134"/>
      <c r="BK262" s="47"/>
      <c r="BL262" s="134"/>
      <c r="BM262" s="47"/>
      <c r="BN262" s="134"/>
      <c r="BO262" s="47"/>
      <c r="BP262" s="134">
        <v>-1</v>
      </c>
      <c r="BQ262" s="47"/>
      <c r="BR262" s="134"/>
      <c r="BS262" s="47"/>
      <c r="BT262" s="134"/>
      <c r="BU262" s="47"/>
      <c r="BV262" s="134"/>
      <c r="BW262" s="47"/>
      <c r="BX262" s="134"/>
      <c r="BY262" s="47"/>
      <c r="BZ262" s="134"/>
      <c r="CA262" s="47"/>
      <c r="CB262" s="127"/>
      <c r="CC262" s="127">
        <v>-1</v>
      </c>
      <c r="CD262" s="127"/>
      <c r="CE262" s="127"/>
      <c r="CF262" s="127"/>
      <c r="CG262" s="127"/>
      <c r="CH262" s="127"/>
      <c r="CI262" s="127"/>
      <c r="CJ262" s="127"/>
      <c r="CK262" s="77">
        <f t="shared" si="161"/>
        <v>27</v>
      </c>
      <c r="CL262" s="37" t="str">
        <f t="shared" si="162"/>
        <v>Flaw - Stealth</v>
      </c>
      <c r="CM262" s="77">
        <f t="shared" si="163"/>
        <v>27</v>
      </c>
      <c r="CN262" s="37" t="str">
        <f t="shared" si="186"/>
        <v>Flaw - Stealth</v>
      </c>
      <c r="CO262" s="77">
        <f t="shared" si="164"/>
        <v>27</v>
      </c>
      <c r="CP262" s="37" t="str">
        <f t="shared" si="165"/>
        <v>Flaw - Stealth</v>
      </c>
      <c r="CQ262" s="77">
        <f t="shared" si="166"/>
        <v>27</v>
      </c>
      <c r="CR262" s="37" t="str">
        <f t="shared" si="167"/>
        <v>Flaw - Stealth</v>
      </c>
      <c r="CS262" s="77">
        <f t="shared" si="168"/>
        <v>27</v>
      </c>
      <c r="CT262" s="37" t="str">
        <f t="shared" si="169"/>
        <v>Flaw - Stealth</v>
      </c>
      <c r="CU262" s="77">
        <f t="shared" si="170"/>
        <v>27</v>
      </c>
      <c r="CV262" s="37" t="str">
        <f t="shared" si="171"/>
        <v>Flaw - Stealth</v>
      </c>
      <c r="CW262" s="77">
        <f t="shared" si="172"/>
        <v>27</v>
      </c>
      <c r="CX262" s="37" t="str">
        <f t="shared" si="173"/>
        <v>Flaw - Stealth</v>
      </c>
      <c r="DA262" s="77">
        <f t="shared" si="174"/>
        <v>27</v>
      </c>
      <c r="DB262" s="37" t="str">
        <f t="shared" si="175"/>
        <v>Flaw - Stealth</v>
      </c>
      <c r="DC262" s="77">
        <f t="shared" si="174"/>
        <v>27</v>
      </c>
      <c r="DD262" s="37" t="str">
        <f t="shared" si="176"/>
        <v>Flaw - Stealth</v>
      </c>
      <c r="DE262" s="77">
        <f t="shared" si="177"/>
        <v>27</v>
      </c>
      <c r="DF262" s="37" t="str">
        <f t="shared" si="178"/>
        <v>Flaw - Stealth</v>
      </c>
      <c r="DG262" s="77">
        <f t="shared" si="179"/>
        <v>27</v>
      </c>
      <c r="DH262" s="37" t="str">
        <f t="shared" si="180"/>
        <v>Flaw - Stealth</v>
      </c>
      <c r="DI262" s="77">
        <f t="shared" si="181"/>
        <v>27</v>
      </c>
      <c r="DJ262" s="37" t="str">
        <f t="shared" si="182"/>
        <v>Flaw - Stealth</v>
      </c>
      <c r="DK262" s="77">
        <f t="shared" si="183"/>
        <v>27</v>
      </c>
      <c r="DL262" s="37" t="str">
        <f t="shared" si="184"/>
        <v>Flaw - Stealth</v>
      </c>
      <c r="DN262" s="32">
        <v>261</v>
      </c>
      <c r="DO262" s="34" t="s">
        <v>691</v>
      </c>
      <c r="DP262" s="38" t="str">
        <f t="shared" ref="DP262:DP287" si="195">W2</f>
        <v>Bows</v>
      </c>
      <c r="DQ262" s="173" t="str">
        <f t="shared" si="192"/>
        <v>(Mark) Bows</v>
      </c>
      <c r="DR262" s="36">
        <f t="shared" si="193"/>
        <v>261</v>
      </c>
      <c r="DV262" s="176">
        <f t="shared" si="190"/>
        <v>0</v>
      </c>
      <c r="DW262" s="243">
        <f>IF(COUNTIF('Char Sheet p1'!$AP$7:$AP$35,DQ262)=0,0,ROUNDDOWN(SUMIF('Char Sheet p1'!$AP$7:$AP$35,DQ262,'Char Sheet p1'!$AQ$7:$AQ$35)/10,0))</f>
        <v>0</v>
      </c>
      <c r="DX262" s="240">
        <f t="shared" si="194"/>
        <v>0</v>
      </c>
      <c r="DY262" s="36">
        <v>1</v>
      </c>
      <c r="DZ262" s="36" t="str">
        <f t="shared" si="191"/>
        <v/>
      </c>
      <c r="EE262" s="245">
        <f>'Char Sheet p1'!T9</f>
        <v>4</v>
      </c>
    </row>
    <row r="263" spans="33:135">
      <c r="AG263" s="61" t="s">
        <v>290</v>
      </c>
      <c r="AH263" s="62" t="s">
        <v>174</v>
      </c>
      <c r="AI263" s="62"/>
      <c r="AJ263" s="63"/>
      <c r="AK263" s="63">
        <v>1</v>
      </c>
      <c r="AL263" s="63"/>
      <c r="AM263" s="63">
        <v>1</v>
      </c>
      <c r="AN263" s="63">
        <f t="shared" si="187"/>
        <v>28</v>
      </c>
      <c r="AO263" s="66" t="s">
        <v>309</v>
      </c>
      <c r="AP263" s="134"/>
      <c r="AQ263" s="47"/>
      <c r="AR263" s="134"/>
      <c r="AS263" s="47"/>
      <c r="AT263" s="134"/>
      <c r="AU263" s="47"/>
      <c r="AV263" s="134"/>
      <c r="AW263" s="47"/>
      <c r="AX263" s="134"/>
      <c r="AY263" s="47"/>
      <c r="AZ263" s="134"/>
      <c r="BA263" s="47"/>
      <c r="BB263" s="134"/>
      <c r="BC263" s="47"/>
      <c r="BD263" s="134"/>
      <c r="BE263" s="47"/>
      <c r="BF263" s="134"/>
      <c r="BG263" s="47"/>
      <c r="BH263" s="134"/>
      <c r="BI263" s="47"/>
      <c r="BJ263" s="134"/>
      <c r="BK263" s="47"/>
      <c r="BL263" s="134"/>
      <c r="BM263" s="47"/>
      <c r="BN263" s="134"/>
      <c r="BO263" s="47"/>
      <c r="BP263" s="134"/>
      <c r="BQ263" s="47"/>
      <c r="BR263" s="134">
        <v>-1</v>
      </c>
      <c r="BS263" s="47"/>
      <c r="BT263" s="134"/>
      <c r="BU263" s="47"/>
      <c r="BV263" s="134"/>
      <c r="BW263" s="47"/>
      <c r="BX263" s="134"/>
      <c r="BY263" s="47"/>
      <c r="BZ263" s="134"/>
      <c r="CA263" s="47"/>
      <c r="CB263" s="127"/>
      <c r="CC263" s="127"/>
      <c r="CD263" s="127"/>
      <c r="CE263" s="127"/>
      <c r="CF263" s="127"/>
      <c r="CG263" s="127"/>
      <c r="CH263" s="127"/>
      <c r="CI263" s="127"/>
      <c r="CJ263" s="127"/>
      <c r="CK263" s="77">
        <f t="shared" si="161"/>
        <v>28</v>
      </c>
      <c r="CL263" s="37" t="str">
        <f t="shared" si="162"/>
        <v>Flaw - Survival</v>
      </c>
      <c r="CM263" s="77">
        <f t="shared" si="163"/>
        <v>28</v>
      </c>
      <c r="CN263" s="37" t="str">
        <f t="shared" si="186"/>
        <v>Flaw - Survival</v>
      </c>
      <c r="CO263" s="77">
        <f t="shared" si="164"/>
        <v>28</v>
      </c>
      <c r="CP263" s="37" t="str">
        <f t="shared" si="165"/>
        <v>Flaw - Survival</v>
      </c>
      <c r="CQ263" s="77">
        <f t="shared" si="166"/>
        <v>28</v>
      </c>
      <c r="CR263" s="37" t="str">
        <f t="shared" si="167"/>
        <v>Flaw - Survival</v>
      </c>
      <c r="CS263" s="77">
        <f t="shared" si="168"/>
        <v>28</v>
      </c>
      <c r="CT263" s="37" t="str">
        <f t="shared" si="169"/>
        <v>Flaw - Survival</v>
      </c>
      <c r="CU263" s="77">
        <f t="shared" si="170"/>
        <v>28</v>
      </c>
      <c r="CV263" s="37" t="str">
        <f t="shared" si="171"/>
        <v>Flaw - Survival</v>
      </c>
      <c r="CW263" s="77">
        <f t="shared" si="172"/>
        <v>28</v>
      </c>
      <c r="CX263" s="37" t="str">
        <f t="shared" si="173"/>
        <v>Flaw - Survival</v>
      </c>
      <c r="DA263" s="77">
        <f t="shared" si="174"/>
        <v>28</v>
      </c>
      <c r="DB263" s="37" t="str">
        <f t="shared" si="175"/>
        <v>Flaw - Survival</v>
      </c>
      <c r="DC263" s="77">
        <f t="shared" si="174"/>
        <v>28</v>
      </c>
      <c r="DD263" s="37" t="str">
        <f t="shared" si="176"/>
        <v>Flaw - Survival</v>
      </c>
      <c r="DE263" s="77">
        <f t="shared" si="177"/>
        <v>28</v>
      </c>
      <c r="DF263" s="37" t="str">
        <f t="shared" si="178"/>
        <v>Flaw - Survival</v>
      </c>
      <c r="DG263" s="77">
        <f t="shared" si="179"/>
        <v>28</v>
      </c>
      <c r="DH263" s="37" t="str">
        <f t="shared" si="180"/>
        <v>Flaw - Survival</v>
      </c>
      <c r="DI263" s="77">
        <f t="shared" si="181"/>
        <v>28</v>
      </c>
      <c r="DJ263" s="37" t="str">
        <f t="shared" si="182"/>
        <v>Flaw - Survival</v>
      </c>
      <c r="DK263" s="77">
        <f t="shared" si="183"/>
        <v>28</v>
      </c>
      <c r="DL263" s="37" t="str">
        <f t="shared" si="184"/>
        <v>Flaw - Survival</v>
      </c>
      <c r="DN263" s="32">
        <v>262</v>
      </c>
      <c r="DO263" s="34" t="s">
        <v>691</v>
      </c>
      <c r="DP263" s="38" t="str">
        <f t="shared" si="195"/>
        <v>Crossbows</v>
      </c>
      <c r="DQ263" s="173" t="str">
        <f t="shared" si="192"/>
        <v>(Mark) Crossbows</v>
      </c>
      <c r="DR263" s="36">
        <f t="shared" si="193"/>
        <v>262</v>
      </c>
      <c r="DV263" s="176">
        <f t="shared" si="190"/>
        <v>0</v>
      </c>
      <c r="DW263" s="243">
        <f>IF(COUNTIF('Char Sheet p1'!$AP$7:$AP$35,DQ263)=0,0,ROUNDDOWN(SUMIF('Char Sheet p1'!$AP$7:$AP$35,DQ263,'Char Sheet p1'!$AQ$7:$AQ$35)/10,0))</f>
        <v>0</v>
      </c>
      <c r="DX263" s="240">
        <f t="shared" si="194"/>
        <v>0</v>
      </c>
      <c r="DY263" s="36">
        <v>2</v>
      </c>
      <c r="DZ263" s="36" t="str">
        <f t="shared" si="191"/>
        <v/>
      </c>
      <c r="EE263" s="36">
        <f>EE262</f>
        <v>4</v>
      </c>
    </row>
    <row r="264" spans="33:135">
      <c r="AG264" s="61" t="s">
        <v>291</v>
      </c>
      <c r="AH264" s="62" t="s">
        <v>174</v>
      </c>
      <c r="AI264" s="62"/>
      <c r="AJ264" s="63"/>
      <c r="AK264" s="63">
        <v>1</v>
      </c>
      <c r="AL264" s="63"/>
      <c r="AM264" s="63">
        <v>1</v>
      </c>
      <c r="AN264" s="63">
        <f t="shared" si="187"/>
        <v>29</v>
      </c>
      <c r="AO264" s="66" t="s">
        <v>310</v>
      </c>
      <c r="AP264" s="134"/>
      <c r="AQ264" s="47"/>
      <c r="AR264" s="134"/>
      <c r="AS264" s="47"/>
      <c r="AT264" s="134"/>
      <c r="AU264" s="47"/>
      <c r="AV264" s="134"/>
      <c r="AW264" s="47"/>
      <c r="AX264" s="134"/>
      <c r="AY264" s="47"/>
      <c r="AZ264" s="134"/>
      <c r="BA264" s="47"/>
      <c r="BB264" s="134"/>
      <c r="BC264" s="47"/>
      <c r="BD264" s="134"/>
      <c r="BE264" s="47"/>
      <c r="BF264" s="134"/>
      <c r="BG264" s="47"/>
      <c r="BH264" s="134"/>
      <c r="BI264" s="47"/>
      <c r="BJ264" s="134"/>
      <c r="BK264" s="47"/>
      <c r="BL264" s="134"/>
      <c r="BM264" s="47"/>
      <c r="BN264" s="134"/>
      <c r="BO264" s="47"/>
      <c r="BP264" s="134"/>
      <c r="BQ264" s="47"/>
      <c r="BR264" s="134"/>
      <c r="BS264" s="47"/>
      <c r="BT264" s="134">
        <v>-1</v>
      </c>
      <c r="BU264" s="47"/>
      <c r="BV264" s="134"/>
      <c r="BW264" s="47"/>
      <c r="BX264" s="134"/>
      <c r="BY264" s="47"/>
      <c r="BZ264" s="134"/>
      <c r="CA264" s="47"/>
      <c r="CB264" s="127"/>
      <c r="CC264" s="127"/>
      <c r="CD264" s="127"/>
      <c r="CE264" s="127"/>
      <c r="CF264" s="127"/>
      <c r="CG264" s="127"/>
      <c r="CH264" s="127"/>
      <c r="CI264" s="127"/>
      <c r="CJ264" s="127"/>
      <c r="CK264" s="77">
        <f t="shared" si="161"/>
        <v>29</v>
      </c>
      <c r="CL264" s="37" t="str">
        <f t="shared" si="162"/>
        <v>Flaw - Thievery</v>
      </c>
      <c r="CM264" s="77">
        <f t="shared" si="163"/>
        <v>29</v>
      </c>
      <c r="CN264" s="37" t="str">
        <f t="shared" si="186"/>
        <v>Flaw - Thievery</v>
      </c>
      <c r="CO264" s="77">
        <f t="shared" si="164"/>
        <v>29</v>
      </c>
      <c r="CP264" s="37" t="str">
        <f t="shared" si="165"/>
        <v>Flaw - Thievery</v>
      </c>
      <c r="CQ264" s="77">
        <f t="shared" si="166"/>
        <v>29</v>
      </c>
      <c r="CR264" s="37" t="str">
        <f t="shared" si="167"/>
        <v>Flaw - Thievery</v>
      </c>
      <c r="CS264" s="77">
        <f t="shared" si="168"/>
        <v>29</v>
      </c>
      <c r="CT264" s="37" t="str">
        <f t="shared" si="169"/>
        <v>Flaw - Thievery</v>
      </c>
      <c r="CU264" s="77">
        <f t="shared" si="170"/>
        <v>29</v>
      </c>
      <c r="CV264" s="37" t="str">
        <f t="shared" si="171"/>
        <v>Flaw - Thievery</v>
      </c>
      <c r="CW264" s="77">
        <f t="shared" si="172"/>
        <v>29</v>
      </c>
      <c r="CX264" s="37" t="str">
        <f t="shared" si="173"/>
        <v>Flaw - Thievery</v>
      </c>
      <c r="DA264" s="77">
        <f t="shared" si="174"/>
        <v>29</v>
      </c>
      <c r="DB264" s="37" t="str">
        <f t="shared" si="175"/>
        <v>Flaw - Thievery</v>
      </c>
      <c r="DC264" s="77">
        <f t="shared" si="174"/>
        <v>29</v>
      </c>
      <c r="DD264" s="37" t="str">
        <f t="shared" si="176"/>
        <v>Flaw - Thievery</v>
      </c>
      <c r="DE264" s="77">
        <f t="shared" si="177"/>
        <v>29</v>
      </c>
      <c r="DF264" s="37" t="str">
        <f t="shared" si="178"/>
        <v>Flaw - Thievery</v>
      </c>
      <c r="DG264" s="77">
        <f t="shared" si="179"/>
        <v>29</v>
      </c>
      <c r="DH264" s="37" t="str">
        <f t="shared" si="180"/>
        <v>Flaw - Thievery</v>
      </c>
      <c r="DI264" s="77">
        <f t="shared" si="181"/>
        <v>29</v>
      </c>
      <c r="DJ264" s="37" t="str">
        <f t="shared" si="182"/>
        <v>Flaw - Thievery</v>
      </c>
      <c r="DK264" s="77">
        <f t="shared" si="183"/>
        <v>29</v>
      </c>
      <c r="DL264" s="37" t="str">
        <f t="shared" si="184"/>
        <v>Flaw - Thievery</v>
      </c>
      <c r="DN264" s="32">
        <v>263</v>
      </c>
      <c r="DO264" s="34" t="s">
        <v>691</v>
      </c>
      <c r="DP264" s="38" t="str">
        <f t="shared" si="195"/>
        <v>Siege</v>
      </c>
      <c r="DQ264" s="173" t="str">
        <f t="shared" si="192"/>
        <v>(Mark) Siege</v>
      </c>
      <c r="DR264" s="36">
        <f t="shared" si="193"/>
        <v>263</v>
      </c>
      <c r="DV264" s="176">
        <f t="shared" si="190"/>
        <v>0</v>
      </c>
      <c r="DW264" s="243">
        <f>IF(COUNTIF('Char Sheet p1'!$AP$7:$AP$35,DQ264)=0,0,ROUNDDOWN(SUMIF('Char Sheet p1'!$AP$7:$AP$35,DQ264,'Char Sheet p1'!$AQ$7:$AQ$35)/10,0))</f>
        <v>0</v>
      </c>
      <c r="DX264" s="240">
        <f t="shared" si="194"/>
        <v>0</v>
      </c>
      <c r="DY264" s="36">
        <v>3</v>
      </c>
      <c r="DZ264" s="36" t="str">
        <f t="shared" si="191"/>
        <v/>
      </c>
      <c r="EE264" s="36">
        <f t="shared" ref="EE264:EE287" si="196">EE263</f>
        <v>4</v>
      </c>
    </row>
    <row r="265" spans="33:135">
      <c r="AG265" s="61" t="s">
        <v>292</v>
      </c>
      <c r="AH265" s="62" t="s">
        <v>174</v>
      </c>
      <c r="AI265" s="62"/>
      <c r="AJ265" s="63"/>
      <c r="AK265" s="63">
        <v>1</v>
      </c>
      <c r="AL265" s="63"/>
      <c r="AM265" s="63">
        <v>1</v>
      </c>
      <c r="AN265" s="63">
        <f t="shared" si="187"/>
        <v>30</v>
      </c>
      <c r="AO265" s="66" t="s">
        <v>311</v>
      </c>
      <c r="AP265" s="134"/>
      <c r="AQ265" s="47"/>
      <c r="AR265" s="134"/>
      <c r="AS265" s="47"/>
      <c r="AT265" s="134"/>
      <c r="AU265" s="47"/>
      <c r="AV265" s="134"/>
      <c r="AW265" s="47"/>
      <c r="AX265" s="134"/>
      <c r="AY265" s="47"/>
      <c r="AZ265" s="134"/>
      <c r="BA265" s="47"/>
      <c r="BB265" s="134"/>
      <c r="BC265" s="47"/>
      <c r="BD265" s="134"/>
      <c r="BE265" s="47"/>
      <c r="BF265" s="134"/>
      <c r="BG265" s="47"/>
      <c r="BH265" s="134"/>
      <c r="BI265" s="47"/>
      <c r="BJ265" s="134"/>
      <c r="BK265" s="47"/>
      <c r="BL265" s="134"/>
      <c r="BM265" s="47"/>
      <c r="BN265" s="134"/>
      <c r="BO265" s="47"/>
      <c r="BP265" s="134"/>
      <c r="BQ265" s="47"/>
      <c r="BR265" s="134"/>
      <c r="BS265" s="47"/>
      <c r="BT265" s="134"/>
      <c r="BU265" s="47"/>
      <c r="BV265" s="134">
        <v>-1</v>
      </c>
      <c r="BW265" s="47"/>
      <c r="BX265" s="134"/>
      <c r="BY265" s="47"/>
      <c r="BZ265" s="134"/>
      <c r="CA265" s="47"/>
      <c r="CB265" s="127"/>
      <c r="CC265" s="127"/>
      <c r="CD265" s="127"/>
      <c r="CE265" s="127"/>
      <c r="CF265" s="127"/>
      <c r="CG265" s="127"/>
      <c r="CH265" s="127"/>
      <c r="CI265" s="127"/>
      <c r="CJ265" s="127"/>
      <c r="CK265" s="77">
        <f t="shared" si="161"/>
        <v>30</v>
      </c>
      <c r="CL265" s="37" t="str">
        <f t="shared" si="162"/>
        <v>Flaw - Warfare</v>
      </c>
      <c r="CM265" s="77">
        <f t="shared" si="163"/>
        <v>30</v>
      </c>
      <c r="CN265" s="37" t="str">
        <f t="shared" si="186"/>
        <v>Flaw - Warfare</v>
      </c>
      <c r="CO265" s="77">
        <f t="shared" si="164"/>
        <v>30</v>
      </c>
      <c r="CP265" s="37" t="str">
        <f t="shared" si="165"/>
        <v>Flaw - Warfare</v>
      </c>
      <c r="CQ265" s="77">
        <f t="shared" si="166"/>
        <v>30</v>
      </c>
      <c r="CR265" s="37" t="str">
        <f t="shared" si="167"/>
        <v>Flaw - Warfare</v>
      </c>
      <c r="CS265" s="77">
        <f t="shared" si="168"/>
        <v>30</v>
      </c>
      <c r="CT265" s="37" t="str">
        <f t="shared" si="169"/>
        <v>Flaw - Warfare</v>
      </c>
      <c r="CU265" s="77">
        <f t="shared" si="170"/>
        <v>30</v>
      </c>
      <c r="CV265" s="37" t="str">
        <f t="shared" si="171"/>
        <v>Flaw - Warfare</v>
      </c>
      <c r="CW265" s="77">
        <f t="shared" si="172"/>
        <v>30</v>
      </c>
      <c r="CX265" s="37" t="str">
        <f t="shared" si="173"/>
        <v>Flaw - Warfare</v>
      </c>
      <c r="DA265" s="77">
        <f t="shared" si="174"/>
        <v>30</v>
      </c>
      <c r="DB265" s="37" t="str">
        <f t="shared" si="175"/>
        <v>Flaw - Warfare</v>
      </c>
      <c r="DC265" s="77">
        <f t="shared" si="174"/>
        <v>30</v>
      </c>
      <c r="DD265" s="37" t="str">
        <f t="shared" si="176"/>
        <v>Flaw - Warfare</v>
      </c>
      <c r="DE265" s="77">
        <f t="shared" si="177"/>
        <v>30</v>
      </c>
      <c r="DF265" s="37" t="str">
        <f t="shared" si="178"/>
        <v>Flaw - Warfare</v>
      </c>
      <c r="DG265" s="77">
        <f t="shared" si="179"/>
        <v>30</v>
      </c>
      <c r="DH265" s="37" t="str">
        <f t="shared" si="180"/>
        <v>Flaw - Warfare</v>
      </c>
      <c r="DI265" s="77">
        <f t="shared" si="181"/>
        <v>30</v>
      </c>
      <c r="DJ265" s="37" t="str">
        <f t="shared" si="182"/>
        <v>Flaw - Warfare</v>
      </c>
      <c r="DK265" s="77">
        <f t="shared" si="183"/>
        <v>30</v>
      </c>
      <c r="DL265" s="37" t="str">
        <f t="shared" si="184"/>
        <v>Flaw - Warfare</v>
      </c>
      <c r="DN265" s="32">
        <v>264</v>
      </c>
      <c r="DO265" s="34" t="s">
        <v>691</v>
      </c>
      <c r="DP265" s="38" t="str">
        <f t="shared" si="195"/>
        <v>Thrown</v>
      </c>
      <c r="DQ265" s="173" t="str">
        <f t="shared" si="192"/>
        <v>(Mark) Thrown</v>
      </c>
      <c r="DR265" s="36">
        <f t="shared" si="193"/>
        <v>264</v>
      </c>
      <c r="DV265" s="176">
        <f t="shared" si="190"/>
        <v>0</v>
      </c>
      <c r="DW265" s="243">
        <f>IF(COUNTIF('Char Sheet p1'!$AP$7:$AP$35,DQ265)=0,0,ROUNDDOWN(SUMIF('Char Sheet p1'!$AP$7:$AP$35,DQ265,'Char Sheet p1'!$AQ$7:$AQ$35)/10,0))</f>
        <v>0</v>
      </c>
      <c r="DX265" s="240">
        <f t="shared" si="194"/>
        <v>0</v>
      </c>
      <c r="DY265" s="36">
        <v>4</v>
      </c>
      <c r="DZ265" s="36" t="str">
        <f t="shared" si="191"/>
        <v/>
      </c>
      <c r="EE265" s="36">
        <f t="shared" si="196"/>
        <v>4</v>
      </c>
    </row>
    <row r="266" spans="33:135">
      <c r="AG266" s="61" t="s">
        <v>293</v>
      </c>
      <c r="AH266" s="62" t="s">
        <v>174</v>
      </c>
      <c r="AI266" s="62"/>
      <c r="AJ266" s="63"/>
      <c r="AK266" s="63">
        <v>1</v>
      </c>
      <c r="AL266" s="63"/>
      <c r="AM266" s="63">
        <v>1</v>
      </c>
      <c r="AN266" s="63">
        <f t="shared" si="187"/>
        <v>31</v>
      </c>
      <c r="AO266" s="66" t="s">
        <v>312</v>
      </c>
      <c r="AP266" s="134"/>
      <c r="AQ266" s="47"/>
      <c r="AR266" s="134"/>
      <c r="AS266" s="47"/>
      <c r="AT266" s="134"/>
      <c r="AU266" s="47"/>
      <c r="AV266" s="134"/>
      <c r="AW266" s="47"/>
      <c r="AX266" s="134"/>
      <c r="AY266" s="47"/>
      <c r="AZ266" s="134"/>
      <c r="BA266" s="47"/>
      <c r="BB266" s="134"/>
      <c r="BC266" s="47"/>
      <c r="BD266" s="134"/>
      <c r="BE266" s="47"/>
      <c r="BF266" s="134"/>
      <c r="BG266" s="47"/>
      <c r="BH266" s="134"/>
      <c r="BI266" s="47"/>
      <c r="BJ266" s="134"/>
      <c r="BK266" s="47"/>
      <c r="BL266" s="134"/>
      <c r="BM266" s="47"/>
      <c r="BN266" s="134"/>
      <c r="BO266" s="47"/>
      <c r="BP266" s="134"/>
      <c r="BQ266" s="47"/>
      <c r="BR266" s="134"/>
      <c r="BS266" s="47"/>
      <c r="BT266" s="134"/>
      <c r="BU266" s="47"/>
      <c r="BV266" s="134"/>
      <c r="BW266" s="47"/>
      <c r="BX266" s="134">
        <v>-1</v>
      </c>
      <c r="BY266" s="47"/>
      <c r="BZ266" s="134"/>
      <c r="CA266" s="47"/>
      <c r="CB266" s="127"/>
      <c r="CC266" s="127"/>
      <c r="CD266" s="127"/>
      <c r="CE266" s="127"/>
      <c r="CF266" s="127"/>
      <c r="CG266" s="127"/>
      <c r="CH266" s="127"/>
      <c r="CI266" s="127"/>
      <c r="CJ266" s="127"/>
      <c r="CK266" s="77">
        <f t="shared" si="161"/>
        <v>31</v>
      </c>
      <c r="CL266" s="37" t="str">
        <f t="shared" si="162"/>
        <v>Flaw - Will</v>
      </c>
      <c r="CM266" s="77">
        <f t="shared" si="163"/>
        <v>31</v>
      </c>
      <c r="CN266" s="37" t="str">
        <f t="shared" si="186"/>
        <v>Flaw - Will</v>
      </c>
      <c r="CO266" s="77">
        <f t="shared" si="164"/>
        <v>31</v>
      </c>
      <c r="CP266" s="37" t="str">
        <f t="shared" si="165"/>
        <v>Flaw - Will</v>
      </c>
      <c r="CQ266" s="77">
        <f t="shared" si="166"/>
        <v>31</v>
      </c>
      <c r="CR266" s="37" t="str">
        <f t="shared" si="167"/>
        <v>Flaw - Will</v>
      </c>
      <c r="CS266" s="77">
        <f t="shared" si="168"/>
        <v>31</v>
      </c>
      <c r="CT266" s="37" t="str">
        <f t="shared" si="169"/>
        <v>Flaw - Will</v>
      </c>
      <c r="CU266" s="77">
        <f t="shared" si="170"/>
        <v>31</v>
      </c>
      <c r="CV266" s="37" t="str">
        <f t="shared" si="171"/>
        <v>Flaw - Will</v>
      </c>
      <c r="CW266" s="77">
        <f t="shared" si="172"/>
        <v>31</v>
      </c>
      <c r="CX266" s="37" t="str">
        <f t="shared" si="173"/>
        <v>Flaw - Will</v>
      </c>
      <c r="DA266" s="77">
        <f t="shared" si="174"/>
        <v>31</v>
      </c>
      <c r="DB266" s="37" t="str">
        <f t="shared" si="175"/>
        <v>Flaw - Will</v>
      </c>
      <c r="DC266" s="77">
        <f t="shared" si="174"/>
        <v>31</v>
      </c>
      <c r="DD266" s="37" t="str">
        <f t="shared" si="176"/>
        <v>Flaw - Will</v>
      </c>
      <c r="DE266" s="77">
        <f t="shared" si="177"/>
        <v>31</v>
      </c>
      <c r="DF266" s="37" t="str">
        <f t="shared" si="178"/>
        <v>Flaw - Will</v>
      </c>
      <c r="DG266" s="77">
        <f t="shared" si="179"/>
        <v>31</v>
      </c>
      <c r="DH266" s="37" t="str">
        <f t="shared" si="180"/>
        <v>Flaw - Will</v>
      </c>
      <c r="DI266" s="77">
        <f t="shared" si="181"/>
        <v>31</v>
      </c>
      <c r="DJ266" s="37" t="str">
        <f t="shared" si="182"/>
        <v>Flaw - Will</v>
      </c>
      <c r="DK266" s="77">
        <f t="shared" si="183"/>
        <v>31</v>
      </c>
      <c r="DL266" s="37" t="str">
        <f t="shared" si="184"/>
        <v>Flaw - Will</v>
      </c>
      <c r="DN266" s="32">
        <v>265</v>
      </c>
      <c r="DO266" s="34" t="s">
        <v>691</v>
      </c>
      <c r="DP266" s="38" t="str">
        <f t="shared" si="195"/>
        <v>Target Shooting</v>
      </c>
      <c r="DQ266" s="173" t="str">
        <f t="shared" si="192"/>
        <v>(Mark) Target Shooting</v>
      </c>
      <c r="DR266" s="36">
        <f t="shared" si="193"/>
        <v>265</v>
      </c>
      <c r="DV266" s="176">
        <f t="shared" si="190"/>
        <v>0</v>
      </c>
      <c r="DW266" s="243">
        <f>IF(COUNTIF('Char Sheet p1'!$AP$7:$AP$35,DQ266)=0,0,ROUNDDOWN(SUMIF('Char Sheet p1'!$AP$7:$AP$35,DQ266,'Char Sheet p1'!$AQ$7:$AQ$35)/10,0))</f>
        <v>0</v>
      </c>
      <c r="DX266" s="240">
        <f t="shared" si="194"/>
        <v>0</v>
      </c>
      <c r="DY266" s="36">
        <f>DY265+1</f>
        <v>5</v>
      </c>
      <c r="DZ266" s="36" t="str">
        <f t="shared" si="191"/>
        <v/>
      </c>
      <c r="EE266" s="36">
        <f t="shared" si="196"/>
        <v>4</v>
      </c>
    </row>
    <row r="267" spans="33:135">
      <c r="AG267" s="61" t="s">
        <v>299</v>
      </c>
      <c r="AH267" s="62" t="s">
        <v>174</v>
      </c>
      <c r="AI267" s="62"/>
      <c r="AJ267" s="63"/>
      <c r="AK267" s="63">
        <v>1</v>
      </c>
      <c r="AL267" s="63"/>
      <c r="AM267" s="63">
        <v>1</v>
      </c>
      <c r="AN267" s="63">
        <f t="shared" si="187"/>
        <v>32</v>
      </c>
      <c r="AO267" s="64" t="s">
        <v>313</v>
      </c>
      <c r="AP267" s="134"/>
      <c r="AQ267" s="47"/>
      <c r="AR267" s="134"/>
      <c r="AS267" s="47"/>
      <c r="AT267" s="134"/>
      <c r="AU267" s="47"/>
      <c r="AV267" s="134"/>
      <c r="AW267" s="47"/>
      <c r="AX267" s="134"/>
      <c r="AY267" s="47"/>
      <c r="AZ267" s="134"/>
      <c r="BA267" s="47"/>
      <c r="BB267" s="134"/>
      <c r="BC267" s="47"/>
      <c r="BD267" s="134"/>
      <c r="BE267" s="47"/>
      <c r="BF267" s="134"/>
      <c r="BG267" s="47"/>
      <c r="BH267" s="134"/>
      <c r="BI267" s="47"/>
      <c r="BJ267" s="134"/>
      <c r="BK267" s="47"/>
      <c r="BL267" s="134"/>
      <c r="BM267" s="47"/>
      <c r="BN267" s="134"/>
      <c r="BO267" s="47"/>
      <c r="BP267" s="134"/>
      <c r="BQ267" s="47"/>
      <c r="BR267" s="134"/>
      <c r="BS267" s="47"/>
      <c r="BT267" s="134"/>
      <c r="BU267" s="47"/>
      <c r="BV267" s="134"/>
      <c r="BW267" s="47"/>
      <c r="BX267" s="134"/>
      <c r="BY267" s="47"/>
      <c r="BZ267" s="134">
        <v>-1</v>
      </c>
      <c r="CA267" s="47"/>
      <c r="CB267" s="127"/>
      <c r="CC267" s="127"/>
      <c r="CD267" s="127">
        <v>-3</v>
      </c>
      <c r="CE267" s="127"/>
      <c r="CF267" s="127"/>
      <c r="CG267" s="127"/>
      <c r="CH267" s="127"/>
      <c r="CI267" s="127"/>
      <c r="CJ267" s="127"/>
      <c r="CK267" s="77">
        <f t="shared" si="161"/>
        <v>32</v>
      </c>
      <c r="CL267" s="37" t="str">
        <f t="shared" si="162"/>
        <v>Forgetful</v>
      </c>
      <c r="CM267" s="77">
        <f t="shared" si="163"/>
        <v>32</v>
      </c>
      <c r="CN267" s="37" t="str">
        <f t="shared" si="186"/>
        <v>Forgetful</v>
      </c>
      <c r="CO267" s="77">
        <f t="shared" si="164"/>
        <v>32</v>
      </c>
      <c r="CP267" s="37" t="str">
        <f t="shared" si="165"/>
        <v>Forgetful</v>
      </c>
      <c r="CQ267" s="77">
        <f t="shared" si="166"/>
        <v>32</v>
      </c>
      <c r="CR267" s="37" t="str">
        <f t="shared" si="167"/>
        <v>Forgetful</v>
      </c>
      <c r="CS267" s="77">
        <f t="shared" si="168"/>
        <v>32</v>
      </c>
      <c r="CT267" s="37" t="str">
        <f t="shared" si="169"/>
        <v>Forgetful</v>
      </c>
      <c r="CU267" s="77">
        <f t="shared" si="170"/>
        <v>32</v>
      </c>
      <c r="CV267" s="37" t="str">
        <f t="shared" si="171"/>
        <v>Forgetful</v>
      </c>
      <c r="CW267" s="77">
        <f t="shared" si="172"/>
        <v>32</v>
      </c>
      <c r="CX267" s="37" t="str">
        <f t="shared" si="173"/>
        <v>Forgetful</v>
      </c>
      <c r="DA267" s="77">
        <f t="shared" si="174"/>
        <v>32</v>
      </c>
      <c r="DB267" s="37" t="str">
        <f t="shared" si="175"/>
        <v>Forgetful</v>
      </c>
      <c r="DC267" s="77">
        <f t="shared" si="174"/>
        <v>32</v>
      </c>
      <c r="DD267" s="37" t="str">
        <f t="shared" si="176"/>
        <v>Forgetful</v>
      </c>
      <c r="DE267" s="77">
        <f t="shared" si="177"/>
        <v>32</v>
      </c>
      <c r="DF267" s="37" t="str">
        <f t="shared" si="178"/>
        <v>Forgetful</v>
      </c>
      <c r="DG267" s="77">
        <f t="shared" si="179"/>
        <v>32</v>
      </c>
      <c r="DH267" s="37" t="str">
        <f t="shared" si="180"/>
        <v>Forgetful</v>
      </c>
      <c r="DI267" s="77">
        <f t="shared" si="181"/>
        <v>32</v>
      </c>
      <c r="DJ267" s="37" t="str">
        <f t="shared" si="182"/>
        <v>Forgetful</v>
      </c>
      <c r="DK267" s="77">
        <f t="shared" si="183"/>
        <v>32</v>
      </c>
      <c r="DL267" s="37" t="str">
        <f t="shared" si="184"/>
        <v>Forgetful</v>
      </c>
      <c r="DN267" s="32">
        <v>266</v>
      </c>
      <c r="DO267" s="34" t="s">
        <v>691</v>
      </c>
      <c r="DP267" s="38">
        <f t="shared" si="195"/>
        <v>0</v>
      </c>
      <c r="DQ267" s="173" t="str">
        <f t="shared" si="192"/>
        <v>(Mark) 0</v>
      </c>
      <c r="DR267" s="36" t="str">
        <f t="shared" si="193"/>
        <v/>
      </c>
      <c r="DV267" s="176">
        <f t="shared" si="190"/>
        <v>0</v>
      </c>
      <c r="DW267" s="243">
        <f>IF(COUNTIF('Char Sheet p1'!$AP$7:$AP$35,DQ267)=0,0,ROUNDDOWN(SUMIF('Char Sheet p1'!$AP$7:$AP$35,DQ267,'Char Sheet p1'!$AQ$7:$AQ$35)/10,0))</f>
        <v>0</v>
      </c>
      <c r="DX267" s="240">
        <f t="shared" si="194"/>
        <v>0</v>
      </c>
      <c r="DY267" s="36">
        <f t="shared" ref="DY267:DY287" si="197">DY266+1</f>
        <v>6</v>
      </c>
      <c r="DZ267" s="36" t="str">
        <f t="shared" si="191"/>
        <v/>
      </c>
      <c r="EE267" s="36">
        <f t="shared" si="196"/>
        <v>4</v>
      </c>
    </row>
    <row r="268" spans="33:135">
      <c r="AG268" s="61" t="s">
        <v>199</v>
      </c>
      <c r="AH268" s="62" t="s">
        <v>174</v>
      </c>
      <c r="AI268" s="62"/>
      <c r="AJ268" s="63"/>
      <c r="AK268" s="63">
        <v>1</v>
      </c>
      <c r="AL268" s="63"/>
      <c r="AM268" s="63">
        <v>1</v>
      </c>
      <c r="AN268" s="63">
        <f t="shared" ref="AN268:AN289" si="198">AN267+1</f>
        <v>33</v>
      </c>
      <c r="AO268" s="64" t="s">
        <v>200</v>
      </c>
      <c r="AP268" s="134"/>
      <c r="AQ268" s="47"/>
      <c r="AR268" s="134"/>
      <c r="AS268" s="47"/>
      <c r="AT268" s="134"/>
      <c r="AU268" s="47"/>
      <c r="AV268" s="134"/>
      <c r="AW268" s="47"/>
      <c r="AX268" s="134"/>
      <c r="AY268" s="47"/>
      <c r="AZ268" s="134"/>
      <c r="BA268" s="47"/>
      <c r="BB268" s="134"/>
      <c r="BC268" s="47"/>
      <c r="BD268" s="134"/>
      <c r="BE268" s="47"/>
      <c r="BF268" s="134"/>
      <c r="BG268" s="47"/>
      <c r="BH268" s="134"/>
      <c r="BI268" s="47"/>
      <c r="BJ268" s="134"/>
      <c r="BK268" s="47"/>
      <c r="BL268" s="134"/>
      <c r="BM268" s="47"/>
      <c r="BN268" s="134"/>
      <c r="BO268" s="47"/>
      <c r="BP268" s="134"/>
      <c r="BQ268" s="47"/>
      <c r="BR268" s="134"/>
      <c r="BS268" s="47"/>
      <c r="BT268" s="134"/>
      <c r="BU268" s="47"/>
      <c r="BV268" s="134"/>
      <c r="BW268" s="47"/>
      <c r="BX268" s="134"/>
      <c r="BY268" s="47"/>
      <c r="BZ268" s="134"/>
      <c r="CA268" s="47"/>
      <c r="CB268" s="127"/>
      <c r="CC268" s="127"/>
      <c r="CD268" s="127"/>
      <c r="CE268" s="127"/>
      <c r="CF268" s="127"/>
      <c r="CG268" s="127"/>
      <c r="CH268" s="127"/>
      <c r="CI268" s="127"/>
      <c r="CJ268" s="127"/>
      <c r="CK268" s="77">
        <f t="shared" si="161"/>
        <v>33</v>
      </c>
      <c r="CL268" s="37" t="str">
        <f t="shared" ref="CL268:CL299" si="199">IF(AN268&gt;$CL$235,"",INDEX($AG$236:$AG$318,SMALL($CK$236:$CK$318,AN268),1))</f>
        <v>Furious</v>
      </c>
      <c r="CM268" s="77">
        <f t="shared" si="163"/>
        <v>33</v>
      </c>
      <c r="CN268" s="37" t="str">
        <f t="shared" si="186"/>
        <v>Furious</v>
      </c>
      <c r="CO268" s="77">
        <f t="shared" si="164"/>
        <v>33</v>
      </c>
      <c r="CP268" s="37" t="str">
        <f t="shared" si="165"/>
        <v>Furious</v>
      </c>
      <c r="CQ268" s="77">
        <f t="shared" si="166"/>
        <v>33</v>
      </c>
      <c r="CR268" s="37" t="str">
        <f t="shared" ref="CR268:CR299" si="200">IF($AN268&gt;CR$235,"",INDEX($AG$236:$AG$318,SMALL(CQ$236:CQ$318,$AN268),1))</f>
        <v>Furious</v>
      </c>
      <c r="CS268" s="77">
        <f t="shared" si="168"/>
        <v>33</v>
      </c>
      <c r="CT268" s="37" t="str">
        <f t="shared" ref="CT268:CT299" si="201">IF($AN268&gt;CT$235,"",INDEX($AG$236:$AG$318,SMALL(CS$236:CS$318,$AN268),1))</f>
        <v>Furious</v>
      </c>
      <c r="CU268" s="77">
        <f t="shared" si="170"/>
        <v>33</v>
      </c>
      <c r="CV268" s="37" t="str">
        <f t="shared" ref="CV268:CV299" si="202">IF($AN268&gt;CV$235,"",INDEX($AG$236:$AG$318,SMALL(CU$236:CU$318,$AN268),1))</f>
        <v>Furious</v>
      </c>
      <c r="CW268" s="77">
        <f t="shared" si="172"/>
        <v>33</v>
      </c>
      <c r="CX268" s="37" t="str">
        <f t="shared" ref="CX268:CX299" si="203">IF($AN268&gt;CX$235,"",INDEX($AG$236:$AG$318,SMALL(CW$236:CW$318,$AN268),1))</f>
        <v>Furious</v>
      </c>
      <c r="DA268" s="77">
        <f t="shared" si="174"/>
        <v>33</v>
      </c>
      <c r="DB268" s="37" t="str">
        <f t="shared" ref="DB268:DB299" si="204">IF($AN268&gt;DB$235,"",INDEX($AG$236:$AG$318,SMALL(DA$236:DA$318,$AN268),1))</f>
        <v>Furious</v>
      </c>
      <c r="DC268" s="77">
        <f t="shared" si="174"/>
        <v>33</v>
      </c>
      <c r="DD268" s="37" t="str">
        <f t="shared" ref="DD268:DD299" si="205">IF($AN268&gt;DD$235,"",INDEX($AG$236:$AG$318,SMALL(DC$236:DC$318,$AN268),1))</f>
        <v>Furious</v>
      </c>
      <c r="DE268" s="77">
        <f t="shared" ref="DE268:DE299" si="206">IF(OR($AM268=0,AND(COUNTIF(DF$319:DF$331,$AG268)&gt;0,$AJ268&lt;&gt;"y")),"",$AN268)</f>
        <v>33</v>
      </c>
      <c r="DF268" s="37" t="str">
        <f t="shared" ref="DF268:DF299" si="207">IF($AN268&gt;DF$235,"",INDEX($AG$236:$AG$318,SMALL(DE$236:DE$318,$AN268),1))</f>
        <v>Furious</v>
      </c>
      <c r="DG268" s="77">
        <f t="shared" ref="DG268:DG299" si="208">IF(OR($AM268=0,AND(COUNTIF(DH$319:DH$331,$AG268)&gt;0,$AJ268&lt;&gt;"y")),"",$AN268)</f>
        <v>33</v>
      </c>
      <c r="DH268" s="37" t="str">
        <f t="shared" ref="DH268:DH299" si="209">IF($AN268&gt;DH$235,"",INDEX($AG$236:$AG$318,SMALL(DG$236:DG$318,$AN268),1))</f>
        <v>Furious</v>
      </c>
      <c r="DI268" s="77">
        <f t="shared" ref="DI268:DI299" si="210">IF(OR($AM268=0,AND(COUNTIF(DJ$319:DJ$331,$AG268)&gt;0,$AJ268&lt;&gt;"y")),"",$AN268)</f>
        <v>33</v>
      </c>
      <c r="DJ268" s="37" t="str">
        <f t="shared" ref="DJ268:DJ299" si="211">IF($AN268&gt;DJ$235,"",INDEX($AG$236:$AG$318,SMALL(DI$236:DI$318,$AN268),1))</f>
        <v>Furious</v>
      </c>
      <c r="DK268" s="77">
        <f t="shared" ref="DK268:DK299" si="212">IF(OR($AM268=0,AND(COUNTIF(DL$319:DL$331,$AG268)&gt;0,$AJ268&lt;&gt;"y")),"",$AN268)</f>
        <v>33</v>
      </c>
      <c r="DL268" s="37" t="str">
        <f t="shared" ref="DL268:DL299" si="213">IF($AN268&gt;DL$235,"",INDEX($AG$236:$AG$318,SMALL(DK$236:DK$318,$AN268),1))</f>
        <v>Furious</v>
      </c>
      <c r="DN268" s="32">
        <v>267</v>
      </c>
      <c r="DO268" s="34" t="s">
        <v>691</v>
      </c>
      <c r="DP268" s="38">
        <f t="shared" si="195"/>
        <v>0</v>
      </c>
      <c r="DQ268" s="173" t="str">
        <f t="shared" si="192"/>
        <v>(Mark) 0</v>
      </c>
      <c r="DR268" s="36" t="str">
        <f t="shared" si="193"/>
        <v/>
      </c>
      <c r="DV268" s="176">
        <f t="shared" si="190"/>
        <v>0</v>
      </c>
      <c r="DW268" s="243">
        <f>IF(COUNTIF('Char Sheet p1'!$AP$7:$AP$35,DQ268)=0,0,ROUNDDOWN(SUMIF('Char Sheet p1'!$AP$7:$AP$35,DQ268,'Char Sheet p1'!$AQ$7:$AQ$35)/10,0))</f>
        <v>0</v>
      </c>
      <c r="DX268" s="240">
        <f t="shared" si="194"/>
        <v>0</v>
      </c>
      <c r="DY268" s="36">
        <f t="shared" si="197"/>
        <v>7</v>
      </c>
      <c r="DZ268" s="36" t="str">
        <f t="shared" si="191"/>
        <v/>
      </c>
      <c r="EE268" s="36">
        <f t="shared" si="196"/>
        <v>4</v>
      </c>
    </row>
    <row r="269" spans="33:135">
      <c r="AG269" s="61" t="s">
        <v>201</v>
      </c>
      <c r="AH269" s="62" t="s">
        <v>174</v>
      </c>
      <c r="AI269" s="62"/>
      <c r="AJ269" s="63"/>
      <c r="AK269" s="63">
        <v>1</v>
      </c>
      <c r="AL269" s="63"/>
      <c r="AM269" s="63">
        <v>1</v>
      </c>
      <c r="AN269" s="63">
        <f t="shared" si="198"/>
        <v>34</v>
      </c>
      <c r="AO269" s="64" t="s">
        <v>202</v>
      </c>
      <c r="AP269" s="134"/>
      <c r="AQ269" s="47"/>
      <c r="AR269" s="134"/>
      <c r="AS269" s="47"/>
      <c r="AT269" s="134"/>
      <c r="AU269" s="47"/>
      <c r="AV269" s="134"/>
      <c r="AW269" s="47"/>
      <c r="AX269" s="134"/>
      <c r="AY269" s="47"/>
      <c r="AZ269" s="134"/>
      <c r="BA269" s="47"/>
      <c r="BB269" s="134"/>
      <c r="BC269" s="47"/>
      <c r="BD269" s="134"/>
      <c r="BE269" s="47"/>
      <c r="BF269" s="134"/>
      <c r="BG269" s="47"/>
      <c r="BH269" s="134"/>
      <c r="BI269" s="47"/>
      <c r="BJ269" s="134"/>
      <c r="BK269" s="47"/>
      <c r="BL269" s="134"/>
      <c r="BM269" s="47"/>
      <c r="BN269" s="134"/>
      <c r="BO269" s="47"/>
      <c r="BP269" s="134"/>
      <c r="BQ269" s="47"/>
      <c r="BR269" s="134"/>
      <c r="BS269" s="47"/>
      <c r="BT269" s="134"/>
      <c r="BU269" s="47"/>
      <c r="BV269" s="134"/>
      <c r="BW269" s="47"/>
      <c r="BX269" s="134"/>
      <c r="BY269" s="47"/>
      <c r="BZ269" s="134"/>
      <c r="CA269" s="47"/>
      <c r="CB269" s="127"/>
      <c r="CC269" s="127"/>
      <c r="CD269" s="127"/>
      <c r="CE269" s="127"/>
      <c r="CF269" s="127"/>
      <c r="CG269" s="127"/>
      <c r="CH269" s="127"/>
      <c r="CI269" s="127"/>
      <c r="CJ269" s="127"/>
      <c r="CK269" s="77">
        <f t="shared" si="161"/>
        <v>34</v>
      </c>
      <c r="CL269" s="37" t="str">
        <f t="shared" si="199"/>
        <v>Haughty</v>
      </c>
      <c r="CM269" s="77">
        <f t="shared" si="163"/>
        <v>34</v>
      </c>
      <c r="CN269" s="37" t="str">
        <f t="shared" si="186"/>
        <v>Haughty</v>
      </c>
      <c r="CO269" s="77">
        <f t="shared" si="164"/>
        <v>34</v>
      </c>
      <c r="CP269" s="37" t="str">
        <f t="shared" si="165"/>
        <v>Haughty</v>
      </c>
      <c r="CQ269" s="77">
        <f t="shared" si="166"/>
        <v>34</v>
      </c>
      <c r="CR269" s="37" t="str">
        <f t="shared" si="200"/>
        <v>Haughty</v>
      </c>
      <c r="CS269" s="77">
        <f t="shared" si="168"/>
        <v>34</v>
      </c>
      <c r="CT269" s="37" t="str">
        <f t="shared" si="201"/>
        <v>Haughty</v>
      </c>
      <c r="CU269" s="77">
        <f t="shared" si="170"/>
        <v>34</v>
      </c>
      <c r="CV269" s="37" t="str">
        <f t="shared" si="202"/>
        <v>Haughty</v>
      </c>
      <c r="CW269" s="77">
        <f t="shared" si="172"/>
        <v>34</v>
      </c>
      <c r="CX269" s="37" t="str">
        <f t="shared" si="203"/>
        <v>Haughty</v>
      </c>
      <c r="DA269" s="77">
        <f t="shared" si="174"/>
        <v>34</v>
      </c>
      <c r="DB269" s="37" t="str">
        <f t="shared" si="204"/>
        <v>Haughty</v>
      </c>
      <c r="DC269" s="77">
        <f t="shared" si="174"/>
        <v>34</v>
      </c>
      <c r="DD269" s="37" t="str">
        <f t="shared" si="205"/>
        <v>Haughty</v>
      </c>
      <c r="DE269" s="77">
        <f t="shared" si="206"/>
        <v>34</v>
      </c>
      <c r="DF269" s="37" t="str">
        <f t="shared" si="207"/>
        <v>Haughty</v>
      </c>
      <c r="DG269" s="77">
        <f t="shared" si="208"/>
        <v>34</v>
      </c>
      <c r="DH269" s="37" t="str">
        <f t="shared" si="209"/>
        <v>Haughty</v>
      </c>
      <c r="DI269" s="77">
        <f t="shared" si="210"/>
        <v>34</v>
      </c>
      <c r="DJ269" s="37" t="str">
        <f t="shared" si="211"/>
        <v>Haughty</v>
      </c>
      <c r="DK269" s="77">
        <f t="shared" si="212"/>
        <v>34</v>
      </c>
      <c r="DL269" s="37" t="str">
        <f t="shared" si="213"/>
        <v>Haughty</v>
      </c>
      <c r="DN269" s="32">
        <v>268</v>
      </c>
      <c r="DO269" s="34" t="s">
        <v>691</v>
      </c>
      <c r="DP269" s="38">
        <f t="shared" si="195"/>
        <v>0</v>
      </c>
      <c r="DQ269" s="173" t="str">
        <f t="shared" si="192"/>
        <v>(Mark) 0</v>
      </c>
      <c r="DR269" s="36" t="str">
        <f t="shared" si="193"/>
        <v/>
      </c>
      <c r="DV269" s="176">
        <f t="shared" si="190"/>
        <v>0</v>
      </c>
      <c r="DW269" s="243">
        <f>IF(COUNTIF('Char Sheet p1'!$AP$7:$AP$35,DQ269)=0,0,ROUNDDOWN(SUMIF('Char Sheet p1'!$AP$7:$AP$35,DQ269,'Char Sheet p1'!$AQ$7:$AQ$35)/10,0))</f>
        <v>0</v>
      </c>
      <c r="DX269" s="240">
        <f t="shared" si="194"/>
        <v>0</v>
      </c>
      <c r="DY269" s="36">
        <f t="shared" si="197"/>
        <v>8</v>
      </c>
      <c r="DZ269" s="36" t="str">
        <f t="shared" si="191"/>
        <v/>
      </c>
      <c r="EE269" s="36">
        <f t="shared" si="196"/>
        <v>4</v>
      </c>
    </row>
    <row r="270" spans="33:135">
      <c r="AG270" s="61" t="s">
        <v>203</v>
      </c>
      <c r="AH270" s="62" t="s">
        <v>174</v>
      </c>
      <c r="AI270" s="62"/>
      <c r="AJ270" s="63"/>
      <c r="AK270" s="63">
        <v>1</v>
      </c>
      <c r="AL270" s="63"/>
      <c r="AM270" s="63">
        <v>1</v>
      </c>
      <c r="AN270" s="63">
        <f t="shared" si="198"/>
        <v>35</v>
      </c>
      <c r="AO270" s="64" t="s">
        <v>204</v>
      </c>
      <c r="AP270" s="134"/>
      <c r="AQ270" s="47"/>
      <c r="AR270" s="134"/>
      <c r="AS270" s="47"/>
      <c r="AT270" s="134"/>
      <c r="AU270" s="47"/>
      <c r="AV270" s="134"/>
      <c r="AW270" s="47"/>
      <c r="AX270" s="134"/>
      <c r="AY270" s="47"/>
      <c r="AZ270" s="134"/>
      <c r="BA270" s="47"/>
      <c r="BB270" s="134"/>
      <c r="BC270" s="47"/>
      <c r="BD270" s="134"/>
      <c r="BE270" s="47"/>
      <c r="BF270" s="134"/>
      <c r="BG270" s="47"/>
      <c r="BH270" s="134"/>
      <c r="BI270" s="47"/>
      <c r="BJ270" s="134"/>
      <c r="BK270" s="47"/>
      <c r="BL270" s="134"/>
      <c r="BM270" s="47"/>
      <c r="BN270" s="134"/>
      <c r="BO270" s="47"/>
      <c r="BP270" s="134"/>
      <c r="BQ270" s="47"/>
      <c r="BR270" s="134"/>
      <c r="BS270" s="47"/>
      <c r="BT270" s="134"/>
      <c r="BU270" s="47"/>
      <c r="BV270" s="134"/>
      <c r="BW270" s="47"/>
      <c r="BX270" s="134"/>
      <c r="BY270" s="47"/>
      <c r="BZ270" s="134"/>
      <c r="CA270" s="47"/>
      <c r="CB270" s="127"/>
      <c r="CC270" s="127"/>
      <c r="CD270" s="127"/>
      <c r="CE270" s="127"/>
      <c r="CF270" s="127"/>
      <c r="CG270" s="127"/>
      <c r="CH270" s="127"/>
      <c r="CI270" s="127"/>
      <c r="CJ270" s="127"/>
      <c r="CK270" s="77">
        <f t="shared" si="161"/>
        <v>35</v>
      </c>
      <c r="CL270" s="37" t="str">
        <f t="shared" si="199"/>
        <v>Haunted</v>
      </c>
      <c r="CM270" s="77">
        <f t="shared" si="163"/>
        <v>35</v>
      </c>
      <c r="CN270" s="37" t="str">
        <f t="shared" si="186"/>
        <v>Haunted</v>
      </c>
      <c r="CO270" s="77">
        <f t="shared" si="164"/>
        <v>35</v>
      </c>
      <c r="CP270" s="37" t="str">
        <f t="shared" si="165"/>
        <v>Haunted</v>
      </c>
      <c r="CQ270" s="77">
        <f t="shared" si="166"/>
        <v>35</v>
      </c>
      <c r="CR270" s="37" t="str">
        <f t="shared" si="200"/>
        <v>Haunted</v>
      </c>
      <c r="CS270" s="77">
        <f t="shared" si="168"/>
        <v>35</v>
      </c>
      <c r="CT270" s="37" t="str">
        <f t="shared" si="201"/>
        <v>Haunted</v>
      </c>
      <c r="CU270" s="77">
        <f t="shared" si="170"/>
        <v>35</v>
      </c>
      <c r="CV270" s="37" t="str">
        <f t="shared" si="202"/>
        <v>Haunted</v>
      </c>
      <c r="CW270" s="77">
        <f t="shared" si="172"/>
        <v>35</v>
      </c>
      <c r="CX270" s="37" t="str">
        <f t="shared" si="203"/>
        <v>Haunted</v>
      </c>
      <c r="DA270" s="77">
        <f t="shared" si="174"/>
        <v>35</v>
      </c>
      <c r="DB270" s="37" t="str">
        <f t="shared" si="204"/>
        <v>Haunted</v>
      </c>
      <c r="DC270" s="77">
        <f t="shared" si="174"/>
        <v>35</v>
      </c>
      <c r="DD270" s="37" t="str">
        <f t="shared" si="205"/>
        <v>Haunted</v>
      </c>
      <c r="DE270" s="77">
        <f t="shared" si="206"/>
        <v>35</v>
      </c>
      <c r="DF270" s="37" t="str">
        <f t="shared" si="207"/>
        <v>Haunted</v>
      </c>
      <c r="DG270" s="77">
        <f t="shared" si="208"/>
        <v>35</v>
      </c>
      <c r="DH270" s="37" t="str">
        <f t="shared" si="209"/>
        <v>Haunted</v>
      </c>
      <c r="DI270" s="77">
        <f t="shared" si="210"/>
        <v>35</v>
      </c>
      <c r="DJ270" s="37" t="str">
        <f t="shared" si="211"/>
        <v>Haunted</v>
      </c>
      <c r="DK270" s="77">
        <f t="shared" si="212"/>
        <v>35</v>
      </c>
      <c r="DL270" s="37" t="str">
        <f t="shared" si="213"/>
        <v>Haunted</v>
      </c>
      <c r="DN270" s="32">
        <v>269</v>
      </c>
      <c r="DO270" s="34" t="s">
        <v>691</v>
      </c>
      <c r="DP270" s="38">
        <f t="shared" si="195"/>
        <v>0</v>
      </c>
      <c r="DQ270" s="173" t="str">
        <f t="shared" si="192"/>
        <v>(Mark) 0</v>
      </c>
      <c r="DR270" s="36" t="str">
        <f t="shared" si="193"/>
        <v/>
      </c>
      <c r="DV270" s="176">
        <f t="shared" si="190"/>
        <v>0</v>
      </c>
      <c r="DW270" s="243">
        <f>IF(COUNTIF('Char Sheet p1'!$AP$7:$AP$35,DQ270)=0,0,ROUNDDOWN(SUMIF('Char Sheet p1'!$AP$7:$AP$35,DQ270,'Char Sheet p1'!$AQ$7:$AQ$35)/10,0))</f>
        <v>0</v>
      </c>
      <c r="DX270" s="240">
        <f t="shared" si="194"/>
        <v>0</v>
      </c>
      <c r="DY270" s="36">
        <f t="shared" si="197"/>
        <v>9</v>
      </c>
      <c r="DZ270" s="36" t="str">
        <f t="shared" si="191"/>
        <v/>
      </c>
      <c r="EE270" s="36">
        <f t="shared" si="196"/>
        <v>4</v>
      </c>
    </row>
    <row r="271" spans="33:135">
      <c r="AG271" s="61" t="s">
        <v>205</v>
      </c>
      <c r="AH271" s="62" t="s">
        <v>174</v>
      </c>
      <c r="AI271" s="62"/>
      <c r="AJ271" s="63"/>
      <c r="AK271" s="63">
        <v>1</v>
      </c>
      <c r="AL271" s="63"/>
      <c r="AM271" s="63">
        <v>1</v>
      </c>
      <c r="AN271" s="63">
        <f t="shared" si="198"/>
        <v>36</v>
      </c>
      <c r="AO271" s="64" t="s">
        <v>206</v>
      </c>
      <c r="AP271" s="134"/>
      <c r="AQ271" s="47"/>
      <c r="AR271" s="134"/>
      <c r="AS271" s="47"/>
      <c r="AT271" s="134"/>
      <c r="AU271" s="47"/>
      <c r="AV271" s="134">
        <v>-1</v>
      </c>
      <c r="AW271" s="47"/>
      <c r="AX271" s="134"/>
      <c r="AY271" s="47"/>
      <c r="AZ271" s="134"/>
      <c r="BA271" s="47"/>
      <c r="BB271" s="134"/>
      <c r="BC271" s="47"/>
      <c r="BD271" s="134"/>
      <c r="BE271" s="47"/>
      <c r="BF271" s="134"/>
      <c r="BG271" s="47"/>
      <c r="BH271" s="134"/>
      <c r="BI271" s="47"/>
      <c r="BJ271" s="134"/>
      <c r="BK271" s="47"/>
      <c r="BL271" s="134"/>
      <c r="BM271" s="47"/>
      <c r="BN271" s="134"/>
      <c r="BO271" s="47"/>
      <c r="BP271" s="134"/>
      <c r="BQ271" s="47"/>
      <c r="BR271" s="134"/>
      <c r="BS271" s="47"/>
      <c r="BT271" s="134"/>
      <c r="BU271" s="47"/>
      <c r="BV271" s="134"/>
      <c r="BW271" s="47"/>
      <c r="BX271" s="134"/>
      <c r="BY271" s="47"/>
      <c r="BZ271" s="134"/>
      <c r="CA271" s="47"/>
      <c r="CB271" s="127"/>
      <c r="CC271" s="127"/>
      <c r="CD271" s="127"/>
      <c r="CE271" s="127"/>
      <c r="CF271" s="127"/>
      <c r="CG271" s="127"/>
      <c r="CH271" s="127"/>
      <c r="CI271" s="127"/>
      <c r="CJ271" s="127"/>
      <c r="CK271" s="77">
        <f t="shared" si="161"/>
        <v>36</v>
      </c>
      <c r="CL271" s="37" t="str">
        <f t="shared" si="199"/>
        <v>Honour-bound</v>
      </c>
      <c r="CM271" s="77">
        <f t="shared" si="163"/>
        <v>36</v>
      </c>
      <c r="CN271" s="37" t="str">
        <f t="shared" si="186"/>
        <v>Honour-bound</v>
      </c>
      <c r="CO271" s="77">
        <f t="shared" si="164"/>
        <v>36</v>
      </c>
      <c r="CP271" s="37" t="str">
        <f t="shared" si="165"/>
        <v>Honour-bound</v>
      </c>
      <c r="CQ271" s="77">
        <f t="shared" si="166"/>
        <v>36</v>
      </c>
      <c r="CR271" s="37" t="str">
        <f t="shared" si="200"/>
        <v>Honour-bound</v>
      </c>
      <c r="CS271" s="77">
        <f t="shared" si="168"/>
        <v>36</v>
      </c>
      <c r="CT271" s="37" t="str">
        <f t="shared" si="201"/>
        <v>Honour-bound</v>
      </c>
      <c r="CU271" s="77">
        <f t="shared" si="170"/>
        <v>36</v>
      </c>
      <c r="CV271" s="37" t="str">
        <f t="shared" si="202"/>
        <v>Honour-bound</v>
      </c>
      <c r="CW271" s="77">
        <f t="shared" si="172"/>
        <v>36</v>
      </c>
      <c r="CX271" s="37" t="str">
        <f t="shared" si="203"/>
        <v>Honour-bound</v>
      </c>
      <c r="DA271" s="77">
        <f t="shared" si="174"/>
        <v>36</v>
      </c>
      <c r="DB271" s="37" t="str">
        <f t="shared" si="204"/>
        <v>Honour-bound</v>
      </c>
      <c r="DC271" s="77">
        <f t="shared" si="174"/>
        <v>36</v>
      </c>
      <c r="DD271" s="37" t="str">
        <f t="shared" si="205"/>
        <v>Honour-bound</v>
      </c>
      <c r="DE271" s="77">
        <f t="shared" si="206"/>
        <v>36</v>
      </c>
      <c r="DF271" s="37" t="str">
        <f t="shared" si="207"/>
        <v>Honour-bound</v>
      </c>
      <c r="DG271" s="77">
        <f t="shared" si="208"/>
        <v>36</v>
      </c>
      <c r="DH271" s="37" t="str">
        <f t="shared" si="209"/>
        <v>Honour-bound</v>
      </c>
      <c r="DI271" s="77">
        <f t="shared" si="210"/>
        <v>36</v>
      </c>
      <c r="DJ271" s="37" t="str">
        <f t="shared" si="211"/>
        <v>Honour-bound</v>
      </c>
      <c r="DK271" s="77">
        <f t="shared" si="212"/>
        <v>36</v>
      </c>
      <c r="DL271" s="37" t="str">
        <f t="shared" si="213"/>
        <v>Honour-bound</v>
      </c>
      <c r="DN271" s="32">
        <v>270</v>
      </c>
      <c r="DO271" s="34" t="s">
        <v>691</v>
      </c>
      <c r="DP271" s="38">
        <f t="shared" si="195"/>
        <v>0</v>
      </c>
      <c r="DQ271" s="173" t="str">
        <f t="shared" si="192"/>
        <v>(Mark) 0</v>
      </c>
      <c r="DR271" s="36" t="str">
        <f t="shared" si="193"/>
        <v/>
      </c>
      <c r="DV271" s="176">
        <f t="shared" si="190"/>
        <v>0</v>
      </c>
      <c r="DW271" s="243">
        <f>IF(COUNTIF('Char Sheet p1'!$AP$7:$AP$35,DQ271)=0,0,ROUNDDOWN(SUMIF('Char Sheet p1'!$AP$7:$AP$35,DQ271,'Char Sheet p1'!$AQ$7:$AQ$35)/10,0))</f>
        <v>0</v>
      </c>
      <c r="DX271" s="240">
        <f t="shared" si="194"/>
        <v>0</v>
      </c>
      <c r="DY271" s="36">
        <f t="shared" si="197"/>
        <v>10</v>
      </c>
      <c r="DZ271" s="36" t="str">
        <f t="shared" si="191"/>
        <v/>
      </c>
      <c r="EE271" s="36">
        <f t="shared" si="196"/>
        <v>4</v>
      </c>
    </row>
    <row r="272" spans="33:135">
      <c r="AG272" s="61" t="s">
        <v>207</v>
      </c>
      <c r="AH272" s="62" t="s">
        <v>174</v>
      </c>
      <c r="AI272" s="62"/>
      <c r="AJ272" s="63"/>
      <c r="AK272" s="63">
        <v>1</v>
      </c>
      <c r="AL272" s="63"/>
      <c r="AM272" s="63">
        <v>1</v>
      </c>
      <c r="AN272" s="63">
        <f t="shared" si="198"/>
        <v>37</v>
      </c>
      <c r="AO272" s="64" t="s">
        <v>208</v>
      </c>
      <c r="AP272" s="134"/>
      <c r="AQ272" s="47"/>
      <c r="AR272" s="134"/>
      <c r="AS272" s="47"/>
      <c r="AT272" s="134"/>
      <c r="AU272" s="47"/>
      <c r="AV272" s="134"/>
      <c r="AW272" s="47"/>
      <c r="AX272" s="134"/>
      <c r="AY272" s="47"/>
      <c r="AZ272" s="134"/>
      <c r="BA272" s="47"/>
      <c r="BB272" s="134"/>
      <c r="BC272" s="47"/>
      <c r="BD272" s="134"/>
      <c r="BE272" s="47"/>
      <c r="BF272" s="134"/>
      <c r="BG272" s="47"/>
      <c r="BH272" s="134"/>
      <c r="BI272" s="47"/>
      <c r="BJ272" s="134"/>
      <c r="BK272" s="47"/>
      <c r="BL272" s="134"/>
      <c r="BM272" s="47"/>
      <c r="BN272" s="134"/>
      <c r="BO272" s="47"/>
      <c r="BP272" s="134"/>
      <c r="BQ272" s="47"/>
      <c r="BR272" s="134"/>
      <c r="BS272" s="47"/>
      <c r="BT272" s="134"/>
      <c r="BU272" s="47"/>
      <c r="BV272" s="134"/>
      <c r="BW272" s="47"/>
      <c r="BX272" s="134"/>
      <c r="BY272" s="47"/>
      <c r="BZ272" s="134"/>
      <c r="CA272" s="47"/>
      <c r="CB272" s="127"/>
      <c r="CC272" s="127"/>
      <c r="CD272" s="127"/>
      <c r="CE272" s="127"/>
      <c r="CF272" s="127"/>
      <c r="CG272" s="127"/>
      <c r="CH272" s="127"/>
      <c r="CI272" s="127"/>
      <c r="CJ272" s="127"/>
      <c r="CK272" s="77">
        <f t="shared" si="161"/>
        <v>37</v>
      </c>
      <c r="CL272" s="37" t="str">
        <f t="shared" si="199"/>
        <v>Ignoble</v>
      </c>
      <c r="CM272" s="77">
        <f t="shared" si="163"/>
        <v>37</v>
      </c>
      <c r="CN272" s="37" t="str">
        <f t="shared" si="186"/>
        <v>Ignoble</v>
      </c>
      <c r="CO272" s="77">
        <f t="shared" si="164"/>
        <v>37</v>
      </c>
      <c r="CP272" s="37" t="str">
        <f t="shared" si="165"/>
        <v>Ignoble</v>
      </c>
      <c r="CQ272" s="77">
        <f t="shared" si="166"/>
        <v>37</v>
      </c>
      <c r="CR272" s="37" t="str">
        <f t="shared" si="200"/>
        <v>Ignoble</v>
      </c>
      <c r="CS272" s="77">
        <f t="shared" si="168"/>
        <v>37</v>
      </c>
      <c r="CT272" s="37" t="str">
        <f t="shared" si="201"/>
        <v>Ignoble</v>
      </c>
      <c r="CU272" s="77">
        <f t="shared" si="170"/>
        <v>37</v>
      </c>
      <c r="CV272" s="37" t="str">
        <f t="shared" si="202"/>
        <v>Ignoble</v>
      </c>
      <c r="CW272" s="77">
        <f t="shared" si="172"/>
        <v>37</v>
      </c>
      <c r="CX272" s="37" t="str">
        <f t="shared" si="203"/>
        <v>Ignoble</v>
      </c>
      <c r="DA272" s="77">
        <f t="shared" si="174"/>
        <v>37</v>
      </c>
      <c r="DB272" s="37" t="str">
        <f t="shared" si="204"/>
        <v>Ignoble</v>
      </c>
      <c r="DC272" s="77">
        <f t="shared" si="174"/>
        <v>37</v>
      </c>
      <c r="DD272" s="37" t="str">
        <f t="shared" si="205"/>
        <v>Ignoble</v>
      </c>
      <c r="DE272" s="77">
        <f t="shared" si="206"/>
        <v>37</v>
      </c>
      <c r="DF272" s="37" t="str">
        <f t="shared" si="207"/>
        <v>Ignoble</v>
      </c>
      <c r="DG272" s="77">
        <f t="shared" si="208"/>
        <v>37</v>
      </c>
      <c r="DH272" s="37" t="str">
        <f t="shared" si="209"/>
        <v>Ignoble</v>
      </c>
      <c r="DI272" s="77">
        <f t="shared" si="210"/>
        <v>37</v>
      </c>
      <c r="DJ272" s="37" t="str">
        <f t="shared" si="211"/>
        <v>Ignoble</v>
      </c>
      <c r="DK272" s="77">
        <f t="shared" si="212"/>
        <v>37</v>
      </c>
      <c r="DL272" s="37" t="str">
        <f t="shared" si="213"/>
        <v>Ignoble</v>
      </c>
      <c r="DN272" s="32">
        <v>271</v>
      </c>
      <c r="DO272" s="34" t="s">
        <v>691</v>
      </c>
      <c r="DP272" s="38">
        <f t="shared" si="195"/>
        <v>0</v>
      </c>
      <c r="DQ272" s="173" t="str">
        <f t="shared" si="192"/>
        <v>(Mark) 0</v>
      </c>
      <c r="DR272" s="36" t="str">
        <f t="shared" si="193"/>
        <v/>
      </c>
      <c r="DV272" s="176">
        <f t="shared" si="190"/>
        <v>0</v>
      </c>
      <c r="DW272" s="243">
        <f>IF(COUNTIF('Char Sheet p1'!$AP$7:$AP$35,DQ272)=0,0,ROUNDDOWN(SUMIF('Char Sheet p1'!$AP$7:$AP$35,DQ272,'Char Sheet p1'!$AQ$7:$AQ$35)/10,0))</f>
        <v>0</v>
      </c>
      <c r="DX272" s="240">
        <f t="shared" si="194"/>
        <v>0</v>
      </c>
      <c r="DY272" s="36">
        <f t="shared" si="197"/>
        <v>11</v>
      </c>
      <c r="DZ272" s="36" t="str">
        <f t="shared" si="191"/>
        <v/>
      </c>
      <c r="EE272" s="36">
        <f t="shared" si="196"/>
        <v>4</v>
      </c>
    </row>
    <row r="273" spans="33:135">
      <c r="AG273" s="61" t="s">
        <v>209</v>
      </c>
      <c r="AH273" s="62" t="s">
        <v>174</v>
      </c>
      <c r="AI273" s="62"/>
      <c r="AJ273" s="63"/>
      <c r="AK273" s="63">
        <v>1</v>
      </c>
      <c r="AL273" s="63"/>
      <c r="AM273" s="63">
        <v>1</v>
      </c>
      <c r="AN273" s="63">
        <f t="shared" si="198"/>
        <v>38</v>
      </c>
      <c r="AO273" s="64" t="s">
        <v>210</v>
      </c>
      <c r="AP273" s="134"/>
      <c r="AQ273" s="47"/>
      <c r="AR273" s="134"/>
      <c r="AS273" s="47"/>
      <c r="AT273" s="134"/>
      <c r="AU273" s="47"/>
      <c r="AV273" s="134"/>
      <c r="AW273" s="47"/>
      <c r="AX273" s="134"/>
      <c r="AY273" s="47"/>
      <c r="AZ273" s="134"/>
      <c r="BA273" s="47"/>
      <c r="BB273" s="134"/>
      <c r="BC273" s="47"/>
      <c r="BD273" s="134"/>
      <c r="BE273" s="47"/>
      <c r="BF273" s="134"/>
      <c r="BG273" s="47"/>
      <c r="BH273" s="134"/>
      <c r="BI273" s="47"/>
      <c r="BJ273" s="134"/>
      <c r="BK273" s="47"/>
      <c r="BL273" s="134"/>
      <c r="BM273" s="47"/>
      <c r="BN273" s="134">
        <v>-1</v>
      </c>
      <c r="BO273" s="47"/>
      <c r="BP273" s="134">
        <v>-1</v>
      </c>
      <c r="BQ273" s="47"/>
      <c r="BR273" s="134"/>
      <c r="BS273" s="47"/>
      <c r="BT273" s="134"/>
      <c r="BU273" s="47"/>
      <c r="BV273" s="134"/>
      <c r="BW273" s="47"/>
      <c r="BX273" s="134"/>
      <c r="BY273" s="47"/>
      <c r="BZ273" s="134"/>
      <c r="CA273" s="47"/>
      <c r="CB273" s="127"/>
      <c r="CC273" s="127"/>
      <c r="CD273" s="127"/>
      <c r="CE273" s="127"/>
      <c r="CF273" s="127"/>
      <c r="CG273" s="127"/>
      <c r="CH273" s="127"/>
      <c r="CI273" s="127"/>
      <c r="CJ273" s="127"/>
      <c r="CK273" s="77">
        <f t="shared" si="161"/>
        <v>38</v>
      </c>
      <c r="CL273" s="37" t="str">
        <f t="shared" si="199"/>
        <v>Impaired Sense - Blind</v>
      </c>
      <c r="CM273" s="77">
        <f t="shared" si="163"/>
        <v>38</v>
      </c>
      <c r="CN273" s="37" t="str">
        <f t="shared" si="186"/>
        <v>Impaired Sense - Blind</v>
      </c>
      <c r="CO273" s="77">
        <f t="shared" si="164"/>
        <v>38</v>
      </c>
      <c r="CP273" s="37" t="str">
        <f t="shared" si="165"/>
        <v>Impaired Sense - Blind</v>
      </c>
      <c r="CQ273" s="77">
        <f t="shared" si="166"/>
        <v>38</v>
      </c>
      <c r="CR273" s="37" t="str">
        <f t="shared" si="200"/>
        <v>Impaired Sense - Blind</v>
      </c>
      <c r="CS273" s="77">
        <f t="shared" si="168"/>
        <v>38</v>
      </c>
      <c r="CT273" s="37" t="str">
        <f t="shared" si="201"/>
        <v>Impaired Sense - Blind</v>
      </c>
      <c r="CU273" s="77">
        <f t="shared" si="170"/>
        <v>38</v>
      </c>
      <c r="CV273" s="37" t="str">
        <f t="shared" si="202"/>
        <v>Impaired Sense - Blind</v>
      </c>
      <c r="CW273" s="77">
        <f t="shared" si="172"/>
        <v>38</v>
      </c>
      <c r="CX273" s="37" t="str">
        <f t="shared" si="203"/>
        <v>Impaired Sense - Blind</v>
      </c>
      <c r="DA273" s="77">
        <f t="shared" si="174"/>
        <v>38</v>
      </c>
      <c r="DB273" s="37" t="str">
        <f t="shared" si="204"/>
        <v>Impaired Sense - Blind</v>
      </c>
      <c r="DC273" s="77">
        <f t="shared" si="174"/>
        <v>38</v>
      </c>
      <c r="DD273" s="37" t="str">
        <f t="shared" si="205"/>
        <v>Impaired Sense - Blind</v>
      </c>
      <c r="DE273" s="77">
        <f t="shared" si="206"/>
        <v>38</v>
      </c>
      <c r="DF273" s="37" t="str">
        <f t="shared" si="207"/>
        <v>Impaired Sense - Blind</v>
      </c>
      <c r="DG273" s="77">
        <f t="shared" si="208"/>
        <v>38</v>
      </c>
      <c r="DH273" s="37" t="str">
        <f t="shared" si="209"/>
        <v>Impaired Sense - Blind</v>
      </c>
      <c r="DI273" s="77">
        <f t="shared" si="210"/>
        <v>38</v>
      </c>
      <c r="DJ273" s="37" t="str">
        <f t="shared" si="211"/>
        <v>Impaired Sense - Blind</v>
      </c>
      <c r="DK273" s="77">
        <f t="shared" si="212"/>
        <v>38</v>
      </c>
      <c r="DL273" s="37" t="str">
        <f t="shared" si="213"/>
        <v>Impaired Sense - Blind</v>
      </c>
      <c r="DN273" s="32">
        <v>272</v>
      </c>
      <c r="DO273" s="34" t="s">
        <v>691</v>
      </c>
      <c r="DP273" s="38">
        <f t="shared" si="195"/>
        <v>0</v>
      </c>
      <c r="DQ273" s="173" t="str">
        <f t="shared" si="192"/>
        <v>(Mark) 0</v>
      </c>
      <c r="DR273" s="36" t="str">
        <f t="shared" si="193"/>
        <v/>
      </c>
      <c r="DV273" s="176">
        <f t="shared" si="190"/>
        <v>0</v>
      </c>
      <c r="DW273" s="243">
        <f>IF(COUNTIF('Char Sheet p1'!$AP$7:$AP$35,DQ273)=0,0,ROUNDDOWN(SUMIF('Char Sheet p1'!$AP$7:$AP$35,DQ273,'Char Sheet p1'!$AQ$7:$AQ$35)/10,0))</f>
        <v>0</v>
      </c>
      <c r="DX273" s="240">
        <f t="shared" si="194"/>
        <v>0</v>
      </c>
      <c r="DY273" s="36">
        <f t="shared" si="197"/>
        <v>12</v>
      </c>
      <c r="DZ273" s="36" t="str">
        <f t="shared" si="191"/>
        <v/>
      </c>
      <c r="EE273" s="36">
        <f t="shared" si="196"/>
        <v>4</v>
      </c>
    </row>
    <row r="274" spans="33:135">
      <c r="AG274" s="61" t="s">
        <v>211</v>
      </c>
      <c r="AH274" s="62" t="s">
        <v>174</v>
      </c>
      <c r="AI274" s="62"/>
      <c r="AJ274" s="63"/>
      <c r="AK274" s="63">
        <v>1</v>
      </c>
      <c r="AL274" s="63"/>
      <c r="AM274" s="63">
        <v>1</v>
      </c>
      <c r="AN274" s="63">
        <f t="shared" si="198"/>
        <v>39</v>
      </c>
      <c r="AO274" s="64" t="s">
        <v>213</v>
      </c>
      <c r="AP274" s="134"/>
      <c r="AQ274" s="47"/>
      <c r="AR274" s="134"/>
      <c r="AS274" s="47"/>
      <c r="AT274" s="134"/>
      <c r="AU274" s="47"/>
      <c r="AV274" s="134"/>
      <c r="AW274" s="47"/>
      <c r="AX274" s="134"/>
      <c r="AY274" s="47"/>
      <c r="AZ274" s="134"/>
      <c r="BA274" s="47"/>
      <c r="BB274" s="134"/>
      <c r="BC274" s="47"/>
      <c r="BD274" s="134"/>
      <c r="BE274" s="47"/>
      <c r="BF274" s="134"/>
      <c r="BG274" s="47"/>
      <c r="BH274" s="134"/>
      <c r="BI274" s="47"/>
      <c r="BJ274" s="134"/>
      <c r="BK274" s="47"/>
      <c r="BL274" s="134"/>
      <c r="BM274" s="47"/>
      <c r="BN274" s="134"/>
      <c r="BO274" s="47"/>
      <c r="BP274" s="134"/>
      <c r="BQ274" s="47"/>
      <c r="BR274" s="134"/>
      <c r="BS274" s="47"/>
      <c r="BT274" s="134"/>
      <c r="BU274" s="47"/>
      <c r="BV274" s="134"/>
      <c r="BW274" s="47"/>
      <c r="BX274" s="134"/>
      <c r="BY274" s="47"/>
      <c r="BZ274" s="134"/>
      <c r="CA274" s="47"/>
      <c r="CB274" s="127"/>
      <c r="CC274" s="127"/>
      <c r="CD274" s="127"/>
      <c r="CE274" s="127"/>
      <c r="CF274" s="127"/>
      <c r="CG274" s="127"/>
      <c r="CH274" s="127"/>
      <c r="CI274" s="127">
        <v>-1</v>
      </c>
      <c r="CJ274" s="127"/>
      <c r="CK274" s="77">
        <f t="shared" si="161"/>
        <v>39</v>
      </c>
      <c r="CL274" s="37" t="str">
        <f t="shared" si="199"/>
        <v>Impaired Sense - Deaf</v>
      </c>
      <c r="CM274" s="77">
        <f t="shared" si="163"/>
        <v>39</v>
      </c>
      <c r="CN274" s="37" t="str">
        <f t="shared" si="186"/>
        <v>Impaired Sense - Deaf</v>
      </c>
      <c r="CO274" s="77">
        <f t="shared" si="164"/>
        <v>39</v>
      </c>
      <c r="CP274" s="37" t="str">
        <f t="shared" si="165"/>
        <v>Impaired Sense - Deaf</v>
      </c>
      <c r="CQ274" s="77">
        <f t="shared" si="166"/>
        <v>39</v>
      </c>
      <c r="CR274" s="37" t="str">
        <f t="shared" si="200"/>
        <v>Impaired Sense - Deaf</v>
      </c>
      <c r="CS274" s="77">
        <f t="shared" si="168"/>
        <v>39</v>
      </c>
      <c r="CT274" s="37" t="str">
        <f t="shared" si="201"/>
        <v>Impaired Sense - Deaf</v>
      </c>
      <c r="CU274" s="77">
        <f t="shared" si="170"/>
        <v>39</v>
      </c>
      <c r="CV274" s="37" t="str">
        <f t="shared" si="202"/>
        <v>Impaired Sense - Deaf</v>
      </c>
      <c r="CW274" s="77">
        <f t="shared" si="172"/>
        <v>39</v>
      </c>
      <c r="CX274" s="37" t="str">
        <f t="shared" si="203"/>
        <v>Impaired Sense - Deaf</v>
      </c>
      <c r="DA274" s="77">
        <f t="shared" si="174"/>
        <v>39</v>
      </c>
      <c r="DB274" s="37" t="str">
        <f t="shared" si="204"/>
        <v>Impaired Sense - Deaf</v>
      </c>
      <c r="DC274" s="77">
        <f t="shared" si="174"/>
        <v>39</v>
      </c>
      <c r="DD274" s="37" t="str">
        <f t="shared" si="205"/>
        <v>Impaired Sense - Deaf</v>
      </c>
      <c r="DE274" s="77">
        <f t="shared" si="206"/>
        <v>39</v>
      </c>
      <c r="DF274" s="37" t="str">
        <f t="shared" si="207"/>
        <v>Impaired Sense - Deaf</v>
      </c>
      <c r="DG274" s="77">
        <f t="shared" si="208"/>
        <v>39</v>
      </c>
      <c r="DH274" s="37" t="str">
        <f t="shared" si="209"/>
        <v>Impaired Sense - Deaf</v>
      </c>
      <c r="DI274" s="77">
        <f t="shared" si="210"/>
        <v>39</v>
      </c>
      <c r="DJ274" s="37" t="str">
        <f t="shared" si="211"/>
        <v>Impaired Sense - Deaf</v>
      </c>
      <c r="DK274" s="77">
        <f t="shared" si="212"/>
        <v>39</v>
      </c>
      <c r="DL274" s="37" t="str">
        <f t="shared" si="213"/>
        <v>Impaired Sense - Deaf</v>
      </c>
      <c r="DN274" s="32">
        <v>273</v>
      </c>
      <c r="DO274" s="34" t="s">
        <v>691</v>
      </c>
      <c r="DP274" s="38">
        <f t="shared" si="195"/>
        <v>0</v>
      </c>
      <c r="DQ274" s="173" t="str">
        <f t="shared" si="192"/>
        <v>(Mark) 0</v>
      </c>
      <c r="DR274" s="36" t="str">
        <f t="shared" si="193"/>
        <v/>
      </c>
      <c r="DV274" s="176">
        <f t="shared" si="190"/>
        <v>0</v>
      </c>
      <c r="DW274" s="243">
        <f>IF(COUNTIF('Char Sheet p1'!$AP$7:$AP$35,DQ274)=0,0,ROUNDDOWN(SUMIF('Char Sheet p1'!$AP$7:$AP$35,DQ274,'Char Sheet p1'!$AQ$7:$AQ$35)/10,0))</f>
        <v>0</v>
      </c>
      <c r="DX274" s="240">
        <f t="shared" si="194"/>
        <v>0</v>
      </c>
      <c r="DY274" s="36">
        <f t="shared" si="197"/>
        <v>13</v>
      </c>
      <c r="DZ274" s="36" t="str">
        <f t="shared" si="191"/>
        <v/>
      </c>
      <c r="EE274" s="36">
        <f t="shared" si="196"/>
        <v>4</v>
      </c>
    </row>
    <row r="275" spans="33:135">
      <c r="AG275" s="61" t="s">
        <v>212</v>
      </c>
      <c r="AH275" s="62" t="s">
        <v>174</v>
      </c>
      <c r="AI275" s="62"/>
      <c r="AJ275" s="63"/>
      <c r="AK275" s="63">
        <v>1</v>
      </c>
      <c r="AL275" s="63"/>
      <c r="AM275" s="63">
        <v>1</v>
      </c>
      <c r="AN275" s="63">
        <f t="shared" si="198"/>
        <v>40</v>
      </c>
      <c r="AO275" s="64" t="s">
        <v>214</v>
      </c>
      <c r="AP275" s="134"/>
      <c r="AQ275" s="47"/>
      <c r="AR275" s="134"/>
      <c r="AS275" s="47"/>
      <c r="AT275" s="134"/>
      <c r="AU275" s="47"/>
      <c r="AV275" s="134"/>
      <c r="AW275" s="47"/>
      <c r="AX275" s="134"/>
      <c r="AY275" s="47"/>
      <c r="AZ275" s="134"/>
      <c r="BA275" s="47"/>
      <c r="BB275" s="134"/>
      <c r="BC275" s="47"/>
      <c r="BD275" s="134"/>
      <c r="BE275" s="47"/>
      <c r="BF275" s="134"/>
      <c r="BG275" s="47"/>
      <c r="BH275" s="134"/>
      <c r="BI275" s="47"/>
      <c r="BJ275" s="134"/>
      <c r="BK275" s="47"/>
      <c r="BL275" s="134"/>
      <c r="BM275" s="47"/>
      <c r="BN275" s="134"/>
      <c r="BO275" s="47"/>
      <c r="BP275" s="134"/>
      <c r="BQ275" s="47"/>
      <c r="BR275" s="134"/>
      <c r="BS275" s="47"/>
      <c r="BT275" s="134"/>
      <c r="BU275" s="47"/>
      <c r="BV275" s="134"/>
      <c r="BW275" s="47"/>
      <c r="BX275" s="134"/>
      <c r="BY275" s="47"/>
      <c r="BZ275" s="134"/>
      <c r="CA275" s="47"/>
      <c r="CB275" s="127"/>
      <c r="CC275" s="127"/>
      <c r="CD275" s="127"/>
      <c r="CE275" s="127"/>
      <c r="CF275" s="127"/>
      <c r="CG275" s="127"/>
      <c r="CH275" s="127"/>
      <c r="CI275" s="127">
        <v>-1</v>
      </c>
      <c r="CJ275" s="127"/>
      <c r="CK275" s="77">
        <f t="shared" si="161"/>
        <v>40</v>
      </c>
      <c r="CL275" s="37" t="str">
        <f t="shared" si="199"/>
        <v>Inept</v>
      </c>
      <c r="CM275" s="77">
        <f t="shared" si="163"/>
        <v>40</v>
      </c>
      <c r="CN275" s="37" t="str">
        <f t="shared" si="186"/>
        <v>Inept</v>
      </c>
      <c r="CO275" s="77">
        <f t="shared" si="164"/>
        <v>40</v>
      </c>
      <c r="CP275" s="37" t="str">
        <f t="shared" si="165"/>
        <v>Inept</v>
      </c>
      <c r="CQ275" s="77">
        <f t="shared" si="166"/>
        <v>40</v>
      </c>
      <c r="CR275" s="37" t="str">
        <f t="shared" si="200"/>
        <v>Inept</v>
      </c>
      <c r="CS275" s="77">
        <f t="shared" si="168"/>
        <v>40</v>
      </c>
      <c r="CT275" s="37" t="str">
        <f t="shared" si="201"/>
        <v>Inept</v>
      </c>
      <c r="CU275" s="77">
        <f t="shared" si="170"/>
        <v>40</v>
      </c>
      <c r="CV275" s="37" t="str">
        <f t="shared" si="202"/>
        <v>Inept</v>
      </c>
      <c r="CW275" s="77">
        <f t="shared" si="172"/>
        <v>40</v>
      </c>
      <c r="CX275" s="37" t="str">
        <f t="shared" si="203"/>
        <v>Inept</v>
      </c>
      <c r="DA275" s="77">
        <f t="shared" si="174"/>
        <v>40</v>
      </c>
      <c r="DB275" s="37" t="str">
        <f t="shared" si="204"/>
        <v>Inept</v>
      </c>
      <c r="DC275" s="77">
        <f t="shared" si="174"/>
        <v>40</v>
      </c>
      <c r="DD275" s="37" t="str">
        <f t="shared" si="205"/>
        <v>Inept</v>
      </c>
      <c r="DE275" s="77">
        <f t="shared" si="206"/>
        <v>40</v>
      </c>
      <c r="DF275" s="37" t="str">
        <f t="shared" si="207"/>
        <v>Inept</v>
      </c>
      <c r="DG275" s="77">
        <f t="shared" si="208"/>
        <v>40</v>
      </c>
      <c r="DH275" s="37" t="str">
        <f t="shared" si="209"/>
        <v>Inept</v>
      </c>
      <c r="DI275" s="77">
        <f t="shared" si="210"/>
        <v>40</v>
      </c>
      <c r="DJ275" s="37" t="str">
        <f t="shared" si="211"/>
        <v>Inept</v>
      </c>
      <c r="DK275" s="77">
        <f t="shared" si="212"/>
        <v>40</v>
      </c>
      <c r="DL275" s="37" t="str">
        <f t="shared" si="213"/>
        <v>Inept</v>
      </c>
      <c r="DN275" s="32">
        <v>274</v>
      </c>
      <c r="DO275" s="34" t="s">
        <v>691</v>
      </c>
      <c r="DP275" s="38">
        <f t="shared" si="195"/>
        <v>0</v>
      </c>
      <c r="DQ275" s="173" t="str">
        <f t="shared" si="192"/>
        <v>(Mark) 0</v>
      </c>
      <c r="DR275" s="36" t="str">
        <f t="shared" si="193"/>
        <v/>
      </c>
      <c r="DV275" s="176">
        <f t="shared" si="190"/>
        <v>0</v>
      </c>
      <c r="DW275" s="243">
        <f>IF(COUNTIF('Char Sheet p1'!$AP$7:$AP$35,DQ275)=0,0,ROUNDDOWN(SUMIF('Char Sheet p1'!$AP$7:$AP$35,DQ275,'Char Sheet p1'!$AQ$7:$AQ$35)/10,0))</f>
        <v>0</v>
      </c>
      <c r="DX275" s="240">
        <f t="shared" si="194"/>
        <v>0</v>
      </c>
      <c r="DY275" s="36">
        <f t="shared" si="197"/>
        <v>14</v>
      </c>
      <c r="DZ275" s="36" t="str">
        <f t="shared" si="191"/>
        <v/>
      </c>
      <c r="EE275" s="36">
        <f t="shared" si="196"/>
        <v>4</v>
      </c>
    </row>
    <row r="276" spans="33:135">
      <c r="AG276" s="61" t="s">
        <v>215</v>
      </c>
      <c r="AH276" s="62" t="s">
        <v>174</v>
      </c>
      <c r="AI276" s="62"/>
      <c r="AJ276" s="63"/>
      <c r="AK276" s="63">
        <v>1</v>
      </c>
      <c r="AL276" s="63"/>
      <c r="AM276" s="63">
        <v>1</v>
      </c>
      <c r="AN276" s="63">
        <f t="shared" si="198"/>
        <v>41</v>
      </c>
      <c r="AO276" s="67" t="s">
        <v>227</v>
      </c>
      <c r="AP276" s="134"/>
      <c r="AQ276" s="47"/>
      <c r="AR276" s="134"/>
      <c r="AS276" s="47"/>
      <c r="AT276" s="134"/>
      <c r="AU276" s="47"/>
      <c r="AV276" s="134"/>
      <c r="AW276" s="47"/>
      <c r="AX276" s="134"/>
      <c r="AY276" s="47"/>
      <c r="AZ276" s="134"/>
      <c r="BA276" s="47"/>
      <c r="BB276" s="134"/>
      <c r="BC276" s="47"/>
      <c r="BD276" s="134"/>
      <c r="BE276" s="47"/>
      <c r="BF276" s="134"/>
      <c r="BG276" s="47"/>
      <c r="BH276" s="134"/>
      <c r="BI276" s="47"/>
      <c r="BJ276" s="134"/>
      <c r="BK276" s="47"/>
      <c r="BL276" s="134"/>
      <c r="BM276" s="47"/>
      <c r="BN276" s="134"/>
      <c r="BO276" s="47"/>
      <c r="BP276" s="134"/>
      <c r="BQ276" s="47"/>
      <c r="BR276" s="134"/>
      <c r="BS276" s="47"/>
      <c r="BT276" s="134"/>
      <c r="BU276" s="47"/>
      <c r="BV276" s="134"/>
      <c r="BW276" s="47"/>
      <c r="BX276" s="134"/>
      <c r="BY276" s="47"/>
      <c r="BZ276" s="134"/>
      <c r="CA276" s="47"/>
      <c r="CB276" s="127"/>
      <c r="CC276" s="127"/>
      <c r="CD276" s="127"/>
      <c r="CE276" s="127"/>
      <c r="CF276" s="127"/>
      <c r="CG276" s="127"/>
      <c r="CH276" s="127"/>
      <c r="CI276" s="127"/>
      <c r="CJ276" s="127"/>
      <c r="CK276" s="77">
        <f t="shared" si="161"/>
        <v>41</v>
      </c>
      <c r="CL276" s="37" t="str">
        <f t="shared" si="199"/>
        <v>Lascivious</v>
      </c>
      <c r="CM276" s="77">
        <f t="shared" si="163"/>
        <v>41</v>
      </c>
      <c r="CN276" s="37" t="str">
        <f t="shared" si="186"/>
        <v>Lascivious</v>
      </c>
      <c r="CO276" s="77">
        <f t="shared" si="164"/>
        <v>41</v>
      </c>
      <c r="CP276" s="37" t="str">
        <f t="shared" si="165"/>
        <v>Lascivious</v>
      </c>
      <c r="CQ276" s="77">
        <f t="shared" si="166"/>
        <v>41</v>
      </c>
      <c r="CR276" s="37" t="str">
        <f t="shared" si="200"/>
        <v>Lascivious</v>
      </c>
      <c r="CS276" s="77">
        <f t="shared" si="168"/>
        <v>41</v>
      </c>
      <c r="CT276" s="37" t="str">
        <f t="shared" si="201"/>
        <v>Lascivious</v>
      </c>
      <c r="CU276" s="77">
        <f t="shared" si="170"/>
        <v>41</v>
      </c>
      <c r="CV276" s="37" t="str">
        <f t="shared" si="202"/>
        <v>Lascivious</v>
      </c>
      <c r="CW276" s="77">
        <f t="shared" si="172"/>
        <v>41</v>
      </c>
      <c r="CX276" s="37" t="str">
        <f t="shared" si="203"/>
        <v>Lascivious</v>
      </c>
      <c r="DA276" s="77">
        <f t="shared" si="174"/>
        <v>41</v>
      </c>
      <c r="DB276" s="37" t="str">
        <f t="shared" si="204"/>
        <v>Lascivious</v>
      </c>
      <c r="DC276" s="77">
        <f t="shared" si="174"/>
        <v>41</v>
      </c>
      <c r="DD276" s="37" t="str">
        <f t="shared" si="205"/>
        <v>Lascivious</v>
      </c>
      <c r="DE276" s="77">
        <f t="shared" si="206"/>
        <v>41</v>
      </c>
      <c r="DF276" s="37" t="str">
        <f t="shared" si="207"/>
        <v>Lascivious</v>
      </c>
      <c r="DG276" s="77">
        <f t="shared" si="208"/>
        <v>41</v>
      </c>
      <c r="DH276" s="37" t="str">
        <f t="shared" si="209"/>
        <v>Lascivious</v>
      </c>
      <c r="DI276" s="77">
        <f t="shared" si="210"/>
        <v>41</v>
      </c>
      <c r="DJ276" s="37" t="str">
        <f t="shared" si="211"/>
        <v>Lascivious</v>
      </c>
      <c r="DK276" s="77">
        <f t="shared" si="212"/>
        <v>41</v>
      </c>
      <c r="DL276" s="37" t="str">
        <f t="shared" si="213"/>
        <v>Lascivious</v>
      </c>
      <c r="DN276" s="32">
        <v>275</v>
      </c>
      <c r="DO276" s="34" t="s">
        <v>691</v>
      </c>
      <c r="DP276" s="38">
        <f t="shared" si="195"/>
        <v>0</v>
      </c>
      <c r="DQ276" s="173" t="str">
        <f t="shared" si="192"/>
        <v>(Mark) 0</v>
      </c>
      <c r="DR276" s="36" t="str">
        <f t="shared" si="193"/>
        <v/>
      </c>
      <c r="DV276" s="176">
        <f t="shared" si="190"/>
        <v>0</v>
      </c>
      <c r="DW276" s="243">
        <f>IF(COUNTIF('Char Sheet p1'!$AP$7:$AP$35,DQ276)=0,0,ROUNDDOWN(SUMIF('Char Sheet p1'!$AP$7:$AP$35,DQ276,'Char Sheet p1'!$AQ$7:$AQ$35)/10,0))</f>
        <v>0</v>
      </c>
      <c r="DX276" s="240">
        <f t="shared" si="194"/>
        <v>0</v>
      </c>
      <c r="DY276" s="36">
        <f t="shared" si="197"/>
        <v>15</v>
      </c>
      <c r="DZ276" s="36" t="str">
        <f t="shared" si="191"/>
        <v/>
      </c>
      <c r="EE276" s="36">
        <f t="shared" si="196"/>
        <v>4</v>
      </c>
    </row>
    <row r="277" spans="33:135">
      <c r="AG277" s="61" t="s">
        <v>216</v>
      </c>
      <c r="AH277" s="62" t="s">
        <v>174</v>
      </c>
      <c r="AI277" s="62"/>
      <c r="AJ277" s="63"/>
      <c r="AK277" s="63">
        <v>1</v>
      </c>
      <c r="AL277" s="63"/>
      <c r="AM277" s="63">
        <v>1</v>
      </c>
      <c r="AN277" s="63">
        <f t="shared" si="198"/>
        <v>42</v>
      </c>
      <c r="AO277" s="67" t="s">
        <v>228</v>
      </c>
      <c r="AP277" s="134"/>
      <c r="AQ277" s="47"/>
      <c r="AR277" s="134"/>
      <c r="AS277" s="47"/>
      <c r="AT277" s="134"/>
      <c r="AU277" s="47"/>
      <c r="AV277" s="134"/>
      <c r="AW277" s="47"/>
      <c r="AX277" s="134"/>
      <c r="AY277" s="47"/>
      <c r="AZ277" s="134"/>
      <c r="BA277" s="47"/>
      <c r="BB277" s="134"/>
      <c r="BC277" s="47"/>
      <c r="BD277" s="134"/>
      <c r="BE277" s="47"/>
      <c r="BF277" s="134"/>
      <c r="BG277" s="47"/>
      <c r="BH277" s="134"/>
      <c r="BI277" s="47"/>
      <c r="BJ277" s="134"/>
      <c r="BK277" s="47"/>
      <c r="BL277" s="134"/>
      <c r="BM277" s="47"/>
      <c r="BN277" s="134"/>
      <c r="BO277" s="47"/>
      <c r="BP277" s="134"/>
      <c r="BQ277" s="47"/>
      <c r="BR277" s="134"/>
      <c r="BS277" s="47"/>
      <c r="BT277" s="134"/>
      <c r="BU277" s="47"/>
      <c r="BV277" s="134"/>
      <c r="BW277" s="47"/>
      <c r="BX277" s="134"/>
      <c r="BY277" s="47"/>
      <c r="BZ277" s="134"/>
      <c r="CA277" s="47"/>
      <c r="CB277" s="127"/>
      <c r="CC277" s="127"/>
      <c r="CD277" s="127"/>
      <c r="CE277" s="127"/>
      <c r="CF277" s="127"/>
      <c r="CG277" s="127"/>
      <c r="CH277" s="127"/>
      <c r="CI277" s="127"/>
      <c r="CJ277" s="127"/>
      <c r="CK277" s="77">
        <f t="shared" si="161"/>
        <v>42</v>
      </c>
      <c r="CL277" s="37" t="str">
        <f t="shared" si="199"/>
        <v>Marked</v>
      </c>
      <c r="CM277" s="77">
        <f t="shared" si="163"/>
        <v>42</v>
      </c>
      <c r="CN277" s="37" t="str">
        <f t="shared" si="186"/>
        <v>Marked</v>
      </c>
      <c r="CO277" s="77">
        <f t="shared" si="164"/>
        <v>42</v>
      </c>
      <c r="CP277" s="37" t="str">
        <f t="shared" si="165"/>
        <v>Marked</v>
      </c>
      <c r="CQ277" s="77">
        <f t="shared" si="166"/>
        <v>42</v>
      </c>
      <c r="CR277" s="37" t="str">
        <f t="shared" si="200"/>
        <v>Marked</v>
      </c>
      <c r="CS277" s="77">
        <f t="shared" si="168"/>
        <v>42</v>
      </c>
      <c r="CT277" s="37" t="str">
        <f t="shared" si="201"/>
        <v>Marked</v>
      </c>
      <c r="CU277" s="77">
        <f t="shared" si="170"/>
        <v>42</v>
      </c>
      <c r="CV277" s="37" t="str">
        <f t="shared" si="202"/>
        <v>Marked</v>
      </c>
      <c r="CW277" s="77">
        <f t="shared" si="172"/>
        <v>42</v>
      </c>
      <c r="CX277" s="37" t="str">
        <f t="shared" si="203"/>
        <v>Marked</v>
      </c>
      <c r="DA277" s="77">
        <f t="shared" si="174"/>
        <v>42</v>
      </c>
      <c r="DB277" s="37" t="str">
        <f t="shared" si="204"/>
        <v>Marked</v>
      </c>
      <c r="DC277" s="77">
        <f t="shared" si="174"/>
        <v>42</v>
      </c>
      <c r="DD277" s="37" t="str">
        <f t="shared" si="205"/>
        <v>Marked</v>
      </c>
      <c r="DE277" s="77">
        <f t="shared" si="206"/>
        <v>42</v>
      </c>
      <c r="DF277" s="37" t="str">
        <f t="shared" si="207"/>
        <v>Marked</v>
      </c>
      <c r="DG277" s="77">
        <f t="shared" si="208"/>
        <v>42</v>
      </c>
      <c r="DH277" s="37" t="str">
        <f t="shared" si="209"/>
        <v>Marked</v>
      </c>
      <c r="DI277" s="77">
        <f t="shared" si="210"/>
        <v>42</v>
      </c>
      <c r="DJ277" s="37" t="str">
        <f t="shared" si="211"/>
        <v>Marked</v>
      </c>
      <c r="DK277" s="77">
        <f t="shared" si="212"/>
        <v>42</v>
      </c>
      <c r="DL277" s="37" t="str">
        <f t="shared" si="213"/>
        <v>Marked</v>
      </c>
      <c r="DN277" s="32">
        <v>276</v>
      </c>
      <c r="DO277" s="34" t="s">
        <v>691</v>
      </c>
      <c r="DP277" s="38">
        <f t="shared" si="195"/>
        <v>0</v>
      </c>
      <c r="DQ277" s="173" t="str">
        <f t="shared" si="192"/>
        <v>(Mark) 0</v>
      </c>
      <c r="DR277" s="36" t="str">
        <f t="shared" si="193"/>
        <v/>
      </c>
      <c r="DV277" s="176">
        <f t="shared" si="190"/>
        <v>0</v>
      </c>
      <c r="DW277" s="243">
        <f>IF(COUNTIF('Char Sheet p1'!$AP$7:$AP$35,DQ277)=0,0,ROUNDDOWN(SUMIF('Char Sheet p1'!$AP$7:$AP$35,DQ277,'Char Sheet p1'!$AQ$7:$AQ$35)/10,0))</f>
        <v>0</v>
      </c>
      <c r="DX277" s="240">
        <f t="shared" si="194"/>
        <v>0</v>
      </c>
      <c r="DY277" s="36">
        <f t="shared" si="197"/>
        <v>16</v>
      </c>
      <c r="DZ277" s="36" t="str">
        <f t="shared" si="191"/>
        <v/>
      </c>
      <c r="EE277" s="36">
        <f t="shared" si="196"/>
        <v>4</v>
      </c>
    </row>
    <row r="278" spans="33:135">
      <c r="AG278" s="61" t="s">
        <v>217</v>
      </c>
      <c r="AH278" s="62" t="s">
        <v>174</v>
      </c>
      <c r="AI278" s="62"/>
      <c r="AJ278" s="63"/>
      <c r="AK278" s="63">
        <v>1</v>
      </c>
      <c r="AL278" s="63"/>
      <c r="AM278" s="63">
        <v>1</v>
      </c>
      <c r="AN278" s="63">
        <f t="shared" si="198"/>
        <v>43</v>
      </c>
      <c r="AO278" s="67" t="s">
        <v>229</v>
      </c>
      <c r="AP278" s="134"/>
      <c r="AQ278" s="47"/>
      <c r="AR278" s="134"/>
      <c r="AS278" s="47"/>
      <c r="AT278" s="134"/>
      <c r="AU278" s="47"/>
      <c r="AV278" s="134"/>
      <c r="AW278" s="47"/>
      <c r="AX278" s="134"/>
      <c r="AY278" s="47"/>
      <c r="AZ278" s="134"/>
      <c r="BA278" s="47"/>
      <c r="BB278" s="134"/>
      <c r="BC278" s="47"/>
      <c r="BD278" s="134"/>
      <c r="BE278" s="47"/>
      <c r="BF278" s="134"/>
      <c r="BG278" s="47"/>
      <c r="BH278" s="134"/>
      <c r="BI278" s="47"/>
      <c r="BJ278" s="134"/>
      <c r="BK278" s="47"/>
      <c r="BL278" s="134"/>
      <c r="BM278" s="47"/>
      <c r="BN278" s="134"/>
      <c r="BO278" s="47"/>
      <c r="BP278" s="134"/>
      <c r="BQ278" s="47"/>
      <c r="BR278" s="134"/>
      <c r="BS278" s="47"/>
      <c r="BT278" s="134"/>
      <c r="BU278" s="47"/>
      <c r="BV278" s="134"/>
      <c r="BW278" s="47"/>
      <c r="BX278" s="134"/>
      <c r="BY278" s="47"/>
      <c r="BZ278" s="134"/>
      <c r="CA278" s="47"/>
      <c r="CB278" s="127"/>
      <c r="CC278" s="127"/>
      <c r="CD278" s="127"/>
      <c r="CE278" s="127"/>
      <c r="CF278" s="127"/>
      <c r="CG278" s="127"/>
      <c r="CH278" s="127"/>
      <c r="CI278" s="127"/>
      <c r="CJ278" s="127"/>
      <c r="CK278" s="77">
        <f t="shared" si="161"/>
        <v>43</v>
      </c>
      <c r="CL278" s="37" t="str">
        <f t="shared" si="199"/>
        <v>Maimed - lost leg</v>
      </c>
      <c r="CM278" s="77">
        <f t="shared" si="163"/>
        <v>43</v>
      </c>
      <c r="CN278" s="37" t="str">
        <f t="shared" si="186"/>
        <v>Maimed - lost leg</v>
      </c>
      <c r="CO278" s="77">
        <f t="shared" si="164"/>
        <v>43</v>
      </c>
      <c r="CP278" s="37" t="str">
        <f t="shared" si="165"/>
        <v>Maimed - lost leg</v>
      </c>
      <c r="CQ278" s="77">
        <f t="shared" si="166"/>
        <v>43</v>
      </c>
      <c r="CR278" s="37" t="str">
        <f t="shared" si="200"/>
        <v>Maimed - lost leg</v>
      </c>
      <c r="CS278" s="77">
        <f t="shared" si="168"/>
        <v>43</v>
      </c>
      <c r="CT278" s="37" t="str">
        <f t="shared" si="201"/>
        <v>Maimed - lost leg</v>
      </c>
      <c r="CU278" s="77">
        <f t="shared" si="170"/>
        <v>43</v>
      </c>
      <c r="CV278" s="37" t="str">
        <f t="shared" si="202"/>
        <v>Maimed - lost leg</v>
      </c>
      <c r="CW278" s="77">
        <f t="shared" si="172"/>
        <v>43</v>
      </c>
      <c r="CX278" s="37" t="str">
        <f t="shared" si="203"/>
        <v>Maimed - lost leg</v>
      </c>
      <c r="DA278" s="77">
        <f t="shared" si="174"/>
        <v>43</v>
      </c>
      <c r="DB278" s="37" t="str">
        <f t="shared" si="204"/>
        <v>Maimed - lost leg</v>
      </c>
      <c r="DC278" s="77">
        <f t="shared" si="174"/>
        <v>43</v>
      </c>
      <c r="DD278" s="37" t="str">
        <f t="shared" si="205"/>
        <v>Maimed - lost leg</v>
      </c>
      <c r="DE278" s="77">
        <f t="shared" si="206"/>
        <v>43</v>
      </c>
      <c r="DF278" s="37" t="str">
        <f t="shared" si="207"/>
        <v>Maimed - lost leg</v>
      </c>
      <c r="DG278" s="77">
        <f t="shared" si="208"/>
        <v>43</v>
      </c>
      <c r="DH278" s="37" t="str">
        <f t="shared" si="209"/>
        <v>Maimed - lost leg</v>
      </c>
      <c r="DI278" s="77">
        <f t="shared" si="210"/>
        <v>43</v>
      </c>
      <c r="DJ278" s="37" t="str">
        <f t="shared" si="211"/>
        <v>Maimed - lost leg</v>
      </c>
      <c r="DK278" s="77">
        <f t="shared" si="212"/>
        <v>43</v>
      </c>
      <c r="DL278" s="37" t="str">
        <f t="shared" si="213"/>
        <v>Maimed - lost leg</v>
      </c>
      <c r="DN278" s="32">
        <v>277</v>
      </c>
      <c r="DO278" s="34" t="s">
        <v>691</v>
      </c>
      <c r="DP278" s="38">
        <f t="shared" si="195"/>
        <v>0</v>
      </c>
      <c r="DQ278" s="173" t="str">
        <f t="shared" si="192"/>
        <v>(Mark) 0</v>
      </c>
      <c r="DR278" s="36" t="str">
        <f t="shared" si="193"/>
        <v/>
      </c>
      <c r="DV278" s="176">
        <f t="shared" si="190"/>
        <v>0</v>
      </c>
      <c r="DW278" s="243">
        <f>IF(COUNTIF('Char Sheet p1'!$AP$7:$AP$35,DQ278)=0,0,ROUNDDOWN(SUMIF('Char Sheet p1'!$AP$7:$AP$35,DQ278,'Char Sheet p1'!$AQ$7:$AQ$35)/10,0))</f>
        <v>0</v>
      </c>
      <c r="DX278" s="240">
        <f t="shared" si="194"/>
        <v>0</v>
      </c>
      <c r="DY278" s="36">
        <f t="shared" si="197"/>
        <v>17</v>
      </c>
      <c r="DZ278" s="36" t="str">
        <f t="shared" si="191"/>
        <v/>
      </c>
      <c r="EE278" s="36">
        <f t="shared" si="196"/>
        <v>4</v>
      </c>
    </row>
    <row r="279" spans="33:135">
      <c r="AG279" s="61" t="s">
        <v>231</v>
      </c>
      <c r="AH279" s="62" t="s">
        <v>174</v>
      </c>
      <c r="AI279" s="62"/>
      <c r="AJ279" s="63"/>
      <c r="AK279" s="63">
        <v>1</v>
      </c>
      <c r="AL279" s="63"/>
      <c r="AM279" s="63">
        <v>1</v>
      </c>
      <c r="AN279" s="63">
        <f t="shared" si="198"/>
        <v>44</v>
      </c>
      <c r="AO279" s="67" t="s">
        <v>230</v>
      </c>
      <c r="AP279" s="134"/>
      <c r="AQ279" s="47"/>
      <c r="AR279" s="134"/>
      <c r="AS279" s="47"/>
      <c r="AT279" s="134"/>
      <c r="AU279" s="47"/>
      <c r="AV279" s="134"/>
      <c r="AW279" s="47"/>
      <c r="AX279" s="134"/>
      <c r="AY279" s="47"/>
      <c r="AZ279" s="134"/>
      <c r="BA279" s="47"/>
      <c r="BB279" s="134"/>
      <c r="BC279" s="47"/>
      <c r="BD279" s="134"/>
      <c r="BE279" s="47"/>
      <c r="BF279" s="134"/>
      <c r="BG279" s="47"/>
      <c r="BH279" s="134"/>
      <c r="BI279" s="47"/>
      <c r="BJ279" s="134"/>
      <c r="BK279" s="47"/>
      <c r="BL279" s="134"/>
      <c r="BM279" s="47"/>
      <c r="BN279" s="134"/>
      <c r="BO279" s="47"/>
      <c r="BP279" s="134"/>
      <c r="BQ279" s="47"/>
      <c r="BR279" s="134"/>
      <c r="BS279" s="47"/>
      <c r="BT279" s="134"/>
      <c r="BU279" s="47"/>
      <c r="BV279" s="134"/>
      <c r="BW279" s="47"/>
      <c r="BX279" s="134"/>
      <c r="BY279" s="47"/>
      <c r="BZ279" s="134"/>
      <c r="CA279" s="47"/>
      <c r="CB279" s="127"/>
      <c r="CC279" s="127"/>
      <c r="CD279" s="127"/>
      <c r="CE279" s="127"/>
      <c r="CF279" s="127"/>
      <c r="CG279" s="127"/>
      <c r="CH279" s="127"/>
      <c r="CI279" s="127"/>
      <c r="CJ279" s="127"/>
      <c r="CK279" s="77">
        <f t="shared" si="161"/>
        <v>44</v>
      </c>
      <c r="CL279" s="37" t="str">
        <f t="shared" si="199"/>
        <v>Maimed - lost arm</v>
      </c>
      <c r="CM279" s="77">
        <f t="shared" si="163"/>
        <v>44</v>
      </c>
      <c r="CN279" s="37" t="str">
        <f t="shared" si="186"/>
        <v>Maimed - lost arm</v>
      </c>
      <c r="CO279" s="77">
        <f t="shared" si="164"/>
        <v>44</v>
      </c>
      <c r="CP279" s="37" t="str">
        <f t="shared" si="165"/>
        <v>Maimed - lost arm</v>
      </c>
      <c r="CQ279" s="77">
        <f t="shared" si="166"/>
        <v>44</v>
      </c>
      <c r="CR279" s="37" t="str">
        <f t="shared" si="200"/>
        <v>Maimed - lost arm</v>
      </c>
      <c r="CS279" s="77">
        <f t="shared" si="168"/>
        <v>44</v>
      </c>
      <c r="CT279" s="37" t="str">
        <f t="shared" si="201"/>
        <v>Maimed - lost arm</v>
      </c>
      <c r="CU279" s="77">
        <f t="shared" si="170"/>
        <v>44</v>
      </c>
      <c r="CV279" s="37" t="str">
        <f t="shared" si="202"/>
        <v>Maimed - lost arm</v>
      </c>
      <c r="CW279" s="77">
        <f t="shared" si="172"/>
        <v>44</v>
      </c>
      <c r="CX279" s="37" t="str">
        <f t="shared" si="203"/>
        <v>Maimed - lost arm</v>
      </c>
      <c r="DA279" s="77">
        <f t="shared" si="174"/>
        <v>44</v>
      </c>
      <c r="DB279" s="37" t="str">
        <f t="shared" si="204"/>
        <v>Maimed - lost arm</v>
      </c>
      <c r="DC279" s="77">
        <f t="shared" si="174"/>
        <v>44</v>
      </c>
      <c r="DD279" s="37" t="str">
        <f t="shared" si="205"/>
        <v>Maimed - lost arm</v>
      </c>
      <c r="DE279" s="77">
        <f t="shared" si="206"/>
        <v>44</v>
      </c>
      <c r="DF279" s="37" t="str">
        <f t="shared" si="207"/>
        <v>Maimed - lost arm</v>
      </c>
      <c r="DG279" s="77">
        <f t="shared" si="208"/>
        <v>44</v>
      </c>
      <c r="DH279" s="37" t="str">
        <f t="shared" si="209"/>
        <v>Maimed - lost arm</v>
      </c>
      <c r="DI279" s="77">
        <f t="shared" si="210"/>
        <v>44</v>
      </c>
      <c r="DJ279" s="37" t="str">
        <f t="shared" si="211"/>
        <v>Maimed - lost arm</v>
      </c>
      <c r="DK279" s="77">
        <f t="shared" si="212"/>
        <v>44</v>
      </c>
      <c r="DL279" s="37" t="str">
        <f t="shared" si="213"/>
        <v>Maimed - lost arm</v>
      </c>
      <c r="DN279" s="32">
        <v>278</v>
      </c>
      <c r="DO279" s="34" t="s">
        <v>691</v>
      </c>
      <c r="DP279" s="38">
        <f t="shared" si="195"/>
        <v>0</v>
      </c>
      <c r="DQ279" s="173" t="str">
        <f t="shared" si="192"/>
        <v>(Mark) 0</v>
      </c>
      <c r="DR279" s="36" t="str">
        <f t="shared" si="193"/>
        <v/>
      </c>
      <c r="DV279" s="176">
        <f t="shared" si="190"/>
        <v>0</v>
      </c>
      <c r="DW279" s="243">
        <f>IF(COUNTIF('Char Sheet p1'!$AP$7:$AP$35,DQ279)=0,0,ROUNDDOWN(SUMIF('Char Sheet p1'!$AP$7:$AP$35,DQ279,'Char Sheet p1'!$AQ$7:$AQ$35)/10,0))</f>
        <v>0</v>
      </c>
      <c r="DX279" s="240">
        <f t="shared" si="194"/>
        <v>0</v>
      </c>
      <c r="DY279" s="36">
        <f t="shared" si="197"/>
        <v>18</v>
      </c>
      <c r="DZ279" s="36" t="str">
        <f t="shared" si="191"/>
        <v/>
      </c>
      <c r="EE279" s="36">
        <f t="shared" si="196"/>
        <v>4</v>
      </c>
    </row>
    <row r="280" spans="33:135">
      <c r="AG280" s="61" t="s">
        <v>232</v>
      </c>
      <c r="AH280" s="62" t="s">
        <v>174</v>
      </c>
      <c r="AI280" s="62"/>
      <c r="AJ280" s="63"/>
      <c r="AK280" s="63">
        <v>1</v>
      </c>
      <c r="AL280" s="63"/>
      <c r="AM280" s="63">
        <v>1</v>
      </c>
      <c r="AN280" s="63">
        <f t="shared" si="198"/>
        <v>45</v>
      </c>
      <c r="AO280" s="67" t="s">
        <v>233</v>
      </c>
      <c r="AP280" s="134"/>
      <c r="AQ280" s="47"/>
      <c r="AR280" s="134"/>
      <c r="AS280" s="47"/>
      <c r="AT280" s="134"/>
      <c r="AU280" s="47"/>
      <c r="AV280" s="134"/>
      <c r="AW280" s="47"/>
      <c r="AX280" s="134"/>
      <c r="AY280" s="47"/>
      <c r="AZ280" s="134"/>
      <c r="BA280" s="47"/>
      <c r="BB280" s="134"/>
      <c r="BC280" s="47"/>
      <c r="BD280" s="134"/>
      <c r="BE280" s="47"/>
      <c r="BF280" s="134"/>
      <c r="BG280" s="47"/>
      <c r="BH280" s="134"/>
      <c r="BI280" s="47"/>
      <c r="BJ280" s="134"/>
      <c r="BK280" s="47"/>
      <c r="BL280" s="134"/>
      <c r="BM280" s="47"/>
      <c r="BN280" s="134"/>
      <c r="BO280" s="47"/>
      <c r="BP280" s="134"/>
      <c r="BQ280" s="47"/>
      <c r="BR280" s="134"/>
      <c r="BS280" s="47"/>
      <c r="BT280" s="134"/>
      <c r="BU280" s="47"/>
      <c r="BV280" s="134"/>
      <c r="BW280" s="47"/>
      <c r="BX280" s="134"/>
      <c r="BY280" s="47"/>
      <c r="BZ280" s="134"/>
      <c r="CA280" s="47"/>
      <c r="CB280" s="127"/>
      <c r="CC280" s="127"/>
      <c r="CD280" s="127"/>
      <c r="CE280" s="127"/>
      <c r="CF280" s="127"/>
      <c r="CG280" s="127"/>
      <c r="CH280" s="127"/>
      <c r="CI280" s="127"/>
      <c r="CJ280" s="127"/>
      <c r="CK280" s="77">
        <f t="shared" si="161"/>
        <v>45</v>
      </c>
      <c r="CL280" s="37" t="str">
        <f t="shared" si="199"/>
        <v>Mute</v>
      </c>
      <c r="CM280" s="77">
        <f t="shared" si="163"/>
        <v>45</v>
      </c>
      <c r="CN280" s="37" t="str">
        <f t="shared" si="186"/>
        <v>Mute</v>
      </c>
      <c r="CO280" s="77">
        <f t="shared" si="164"/>
        <v>45</v>
      </c>
      <c r="CP280" s="37" t="str">
        <f t="shared" si="165"/>
        <v>Mute</v>
      </c>
      <c r="CQ280" s="77">
        <f t="shared" si="166"/>
        <v>45</v>
      </c>
      <c r="CR280" s="37" t="str">
        <f t="shared" si="200"/>
        <v>Mute</v>
      </c>
      <c r="CS280" s="77">
        <f t="shared" si="168"/>
        <v>45</v>
      </c>
      <c r="CT280" s="37" t="str">
        <f t="shared" si="201"/>
        <v>Mute</v>
      </c>
      <c r="CU280" s="77">
        <f t="shared" si="170"/>
        <v>45</v>
      </c>
      <c r="CV280" s="37" t="str">
        <f t="shared" si="202"/>
        <v>Mute</v>
      </c>
      <c r="CW280" s="77">
        <f t="shared" si="172"/>
        <v>45</v>
      </c>
      <c r="CX280" s="37" t="str">
        <f t="shared" si="203"/>
        <v>Mute</v>
      </c>
      <c r="DA280" s="77">
        <f t="shared" si="174"/>
        <v>45</v>
      </c>
      <c r="DB280" s="37" t="str">
        <f t="shared" si="204"/>
        <v>Mute</v>
      </c>
      <c r="DC280" s="77">
        <f t="shared" si="174"/>
        <v>45</v>
      </c>
      <c r="DD280" s="37" t="str">
        <f t="shared" si="205"/>
        <v>Mute</v>
      </c>
      <c r="DE280" s="77">
        <f t="shared" si="206"/>
        <v>45</v>
      </c>
      <c r="DF280" s="37" t="str">
        <f t="shared" si="207"/>
        <v>Mute</v>
      </c>
      <c r="DG280" s="77">
        <f t="shared" si="208"/>
        <v>45</v>
      </c>
      <c r="DH280" s="37" t="str">
        <f t="shared" si="209"/>
        <v>Mute</v>
      </c>
      <c r="DI280" s="77">
        <f t="shared" si="210"/>
        <v>45</v>
      </c>
      <c r="DJ280" s="37" t="str">
        <f t="shared" si="211"/>
        <v>Mute</v>
      </c>
      <c r="DK280" s="77">
        <f t="shared" si="212"/>
        <v>45</v>
      </c>
      <c r="DL280" s="37" t="str">
        <f t="shared" si="213"/>
        <v>Mute</v>
      </c>
      <c r="DN280" s="32">
        <v>279</v>
      </c>
      <c r="DO280" s="34" t="s">
        <v>691</v>
      </c>
      <c r="DP280" s="38">
        <f t="shared" si="195"/>
        <v>0</v>
      </c>
      <c r="DQ280" s="173" t="str">
        <f t="shared" si="192"/>
        <v>(Mark) 0</v>
      </c>
      <c r="DR280" s="36" t="str">
        <f t="shared" si="193"/>
        <v/>
      </c>
      <c r="DV280" s="176">
        <f t="shared" si="190"/>
        <v>0</v>
      </c>
      <c r="DW280" s="243">
        <f>IF(COUNTIF('Char Sheet p1'!$AP$7:$AP$35,DQ280)=0,0,ROUNDDOWN(SUMIF('Char Sheet p1'!$AP$7:$AP$35,DQ280,'Char Sheet p1'!$AQ$7:$AQ$35)/10,0))</f>
        <v>0</v>
      </c>
      <c r="DX280" s="240">
        <f t="shared" si="194"/>
        <v>0</v>
      </c>
      <c r="DY280" s="36">
        <f t="shared" si="197"/>
        <v>19</v>
      </c>
      <c r="DZ280" s="36" t="str">
        <f t="shared" si="191"/>
        <v/>
      </c>
      <c r="EE280" s="36">
        <f t="shared" si="196"/>
        <v>4</v>
      </c>
    </row>
    <row r="281" spans="33:135">
      <c r="AG281" s="61" t="s">
        <v>218</v>
      </c>
      <c r="AH281" s="62" t="s">
        <v>174</v>
      </c>
      <c r="AI281" s="62"/>
      <c r="AJ281" s="63"/>
      <c r="AK281" s="63">
        <v>1</v>
      </c>
      <c r="AL281" s="63"/>
      <c r="AM281" s="63">
        <v>1</v>
      </c>
      <c r="AN281" s="63">
        <f t="shared" si="198"/>
        <v>46</v>
      </c>
      <c r="AO281" s="68" t="s">
        <v>234</v>
      </c>
      <c r="AP281" s="142"/>
      <c r="AQ281" s="46"/>
      <c r="AR281" s="142"/>
      <c r="AS281" s="46"/>
      <c r="AT281" s="142"/>
      <c r="AU281" s="46"/>
      <c r="AV281" s="142"/>
      <c r="AW281" s="46"/>
      <c r="AX281" s="142"/>
      <c r="AY281" s="46"/>
      <c r="AZ281" s="142"/>
      <c r="BA281" s="46"/>
      <c r="BB281" s="142"/>
      <c r="BC281" s="46"/>
      <c r="BD281" s="142"/>
      <c r="BE281" s="46"/>
      <c r="BF281" s="142"/>
      <c r="BG281" s="46"/>
      <c r="BH281" s="142"/>
      <c r="BI281" s="46"/>
      <c r="BJ281" s="142"/>
      <c r="BK281" s="46"/>
      <c r="BL281" s="142"/>
      <c r="BM281" s="46"/>
      <c r="BN281" s="142"/>
      <c r="BO281" s="46"/>
      <c r="BP281" s="142"/>
      <c r="BQ281" s="46"/>
      <c r="BR281" s="142"/>
      <c r="BS281" s="46"/>
      <c r="BT281" s="142"/>
      <c r="BU281" s="46"/>
      <c r="BV281" s="142"/>
      <c r="BW281" s="46"/>
      <c r="BX281" s="142"/>
      <c r="BY281" s="46"/>
      <c r="BZ281" s="142"/>
      <c r="CA281" s="46"/>
      <c r="CB281" s="130"/>
      <c r="CC281" s="130"/>
      <c r="CD281" s="130"/>
      <c r="CE281" s="130"/>
      <c r="CF281" s="130"/>
      <c r="CG281" s="130"/>
      <c r="CH281" s="130"/>
      <c r="CI281" s="130"/>
      <c r="CJ281" s="130"/>
      <c r="CK281" s="77">
        <f t="shared" si="161"/>
        <v>46</v>
      </c>
      <c r="CL281" s="37" t="str">
        <f t="shared" si="199"/>
        <v>Naïve</v>
      </c>
      <c r="CM281" s="77">
        <f t="shared" si="163"/>
        <v>46</v>
      </c>
      <c r="CN281" s="37" t="str">
        <f t="shared" si="186"/>
        <v>Naïve</v>
      </c>
      <c r="CO281" s="77">
        <f t="shared" si="164"/>
        <v>46</v>
      </c>
      <c r="CP281" s="37" t="str">
        <f t="shared" si="165"/>
        <v>Naïve</v>
      </c>
      <c r="CQ281" s="77">
        <f t="shared" si="166"/>
        <v>46</v>
      </c>
      <c r="CR281" s="37" t="str">
        <f t="shared" si="200"/>
        <v>Naïve</v>
      </c>
      <c r="CS281" s="77">
        <f t="shared" si="168"/>
        <v>46</v>
      </c>
      <c r="CT281" s="37" t="str">
        <f t="shared" si="201"/>
        <v>Naïve</v>
      </c>
      <c r="CU281" s="77">
        <f t="shared" si="170"/>
        <v>46</v>
      </c>
      <c r="CV281" s="37" t="str">
        <f t="shared" si="202"/>
        <v>Naïve</v>
      </c>
      <c r="CW281" s="77">
        <f t="shared" si="172"/>
        <v>46</v>
      </c>
      <c r="CX281" s="37" t="str">
        <f t="shared" si="203"/>
        <v>Naïve</v>
      </c>
      <c r="DA281" s="77">
        <f t="shared" si="174"/>
        <v>46</v>
      </c>
      <c r="DB281" s="37" t="str">
        <f t="shared" si="204"/>
        <v>Naïve</v>
      </c>
      <c r="DC281" s="77">
        <f t="shared" si="174"/>
        <v>46</v>
      </c>
      <c r="DD281" s="37" t="str">
        <f t="shared" si="205"/>
        <v>Naïve</v>
      </c>
      <c r="DE281" s="77">
        <f t="shared" si="206"/>
        <v>46</v>
      </c>
      <c r="DF281" s="37" t="str">
        <f t="shared" si="207"/>
        <v>Naïve</v>
      </c>
      <c r="DG281" s="77">
        <f t="shared" si="208"/>
        <v>46</v>
      </c>
      <c r="DH281" s="37" t="str">
        <f t="shared" si="209"/>
        <v>Naïve</v>
      </c>
      <c r="DI281" s="77">
        <f t="shared" si="210"/>
        <v>46</v>
      </c>
      <c r="DJ281" s="37" t="str">
        <f t="shared" si="211"/>
        <v>Naïve</v>
      </c>
      <c r="DK281" s="77">
        <f t="shared" si="212"/>
        <v>46</v>
      </c>
      <c r="DL281" s="37" t="str">
        <f t="shared" si="213"/>
        <v>Naïve</v>
      </c>
      <c r="DN281" s="32">
        <v>280</v>
      </c>
      <c r="DO281" s="34" t="s">
        <v>691</v>
      </c>
      <c r="DP281" s="38">
        <f t="shared" si="195"/>
        <v>0</v>
      </c>
      <c r="DQ281" s="173" t="str">
        <f t="shared" si="192"/>
        <v>(Mark) 0</v>
      </c>
      <c r="DR281" s="36" t="str">
        <f t="shared" si="193"/>
        <v/>
      </c>
      <c r="DV281" s="176">
        <f t="shared" si="190"/>
        <v>0</v>
      </c>
      <c r="DW281" s="243">
        <f>IF(COUNTIF('Char Sheet p1'!$AP$7:$AP$35,DQ281)=0,0,ROUNDDOWN(SUMIF('Char Sheet p1'!$AP$7:$AP$35,DQ281,'Char Sheet p1'!$AQ$7:$AQ$35)/10,0))</f>
        <v>0</v>
      </c>
      <c r="DX281" s="240">
        <f t="shared" si="194"/>
        <v>0</v>
      </c>
      <c r="DY281" s="36">
        <f t="shared" si="197"/>
        <v>20</v>
      </c>
      <c r="DZ281" s="36" t="str">
        <f t="shared" si="191"/>
        <v/>
      </c>
      <c r="EE281" s="36">
        <f t="shared" si="196"/>
        <v>4</v>
      </c>
    </row>
    <row r="282" spans="33:135">
      <c r="AG282" s="61" t="s">
        <v>219</v>
      </c>
      <c r="AH282" s="62" t="s">
        <v>174</v>
      </c>
      <c r="AI282" s="62"/>
      <c r="AJ282" s="63"/>
      <c r="AK282" s="63">
        <v>1</v>
      </c>
      <c r="AL282" s="63"/>
      <c r="AM282" s="63">
        <v>1</v>
      </c>
      <c r="AN282" s="63">
        <f t="shared" si="198"/>
        <v>47</v>
      </c>
      <c r="AO282" s="64" t="s">
        <v>239</v>
      </c>
      <c r="AP282" s="134"/>
      <c r="AQ282" s="47"/>
      <c r="AR282" s="134"/>
      <c r="AS282" s="47"/>
      <c r="AT282" s="134"/>
      <c r="AU282" s="47"/>
      <c r="AV282" s="134"/>
      <c r="AW282" s="47"/>
      <c r="AX282" s="134"/>
      <c r="AY282" s="47"/>
      <c r="AZ282" s="134"/>
      <c r="BA282" s="47"/>
      <c r="BB282" s="134"/>
      <c r="BC282" s="47"/>
      <c r="BD282" s="134"/>
      <c r="BE282" s="47"/>
      <c r="BF282" s="134"/>
      <c r="BG282" s="47"/>
      <c r="BH282" s="134"/>
      <c r="BI282" s="47"/>
      <c r="BJ282" s="134"/>
      <c r="BK282" s="47"/>
      <c r="BL282" s="134"/>
      <c r="BM282" s="47"/>
      <c r="BN282" s="134"/>
      <c r="BO282" s="47"/>
      <c r="BP282" s="134"/>
      <c r="BQ282" s="47"/>
      <c r="BR282" s="134"/>
      <c r="BS282" s="47"/>
      <c r="BT282" s="134"/>
      <c r="BU282" s="47"/>
      <c r="BV282" s="134"/>
      <c r="BW282" s="47"/>
      <c r="BX282" s="134"/>
      <c r="BY282" s="47"/>
      <c r="BZ282" s="134"/>
      <c r="CA282" s="47"/>
      <c r="CB282" s="127"/>
      <c r="CC282" s="127"/>
      <c r="CD282" s="127"/>
      <c r="CE282" s="127"/>
      <c r="CF282" s="127"/>
      <c r="CG282" s="127"/>
      <c r="CH282" s="127"/>
      <c r="CI282" s="127"/>
      <c r="CJ282" s="127"/>
      <c r="CK282" s="77">
        <f t="shared" si="161"/>
        <v>47</v>
      </c>
      <c r="CL282" s="37" t="str">
        <f t="shared" si="199"/>
        <v>Nemesis</v>
      </c>
      <c r="CM282" s="77">
        <f t="shared" si="163"/>
        <v>47</v>
      </c>
      <c r="CN282" s="37" t="str">
        <f t="shared" si="186"/>
        <v>Nemesis</v>
      </c>
      <c r="CO282" s="77">
        <f t="shared" si="164"/>
        <v>47</v>
      </c>
      <c r="CP282" s="37" t="str">
        <f t="shared" si="165"/>
        <v>Nemesis</v>
      </c>
      <c r="CQ282" s="77">
        <f t="shared" si="166"/>
        <v>47</v>
      </c>
      <c r="CR282" s="37" t="str">
        <f t="shared" si="200"/>
        <v>Nemesis</v>
      </c>
      <c r="CS282" s="77">
        <f t="shared" si="168"/>
        <v>47</v>
      </c>
      <c r="CT282" s="37" t="str">
        <f t="shared" si="201"/>
        <v>Nemesis</v>
      </c>
      <c r="CU282" s="77">
        <f t="shared" si="170"/>
        <v>47</v>
      </c>
      <c r="CV282" s="37" t="str">
        <f t="shared" si="202"/>
        <v>Nemesis</v>
      </c>
      <c r="CW282" s="77">
        <f t="shared" si="172"/>
        <v>47</v>
      </c>
      <c r="CX282" s="37" t="str">
        <f t="shared" si="203"/>
        <v>Nemesis</v>
      </c>
      <c r="DA282" s="77">
        <f t="shared" si="174"/>
        <v>47</v>
      </c>
      <c r="DB282" s="37" t="str">
        <f t="shared" si="204"/>
        <v>Nemesis</v>
      </c>
      <c r="DC282" s="77">
        <f t="shared" si="174"/>
        <v>47</v>
      </c>
      <c r="DD282" s="37" t="str">
        <f t="shared" si="205"/>
        <v>Nemesis</v>
      </c>
      <c r="DE282" s="77">
        <f t="shared" si="206"/>
        <v>47</v>
      </c>
      <c r="DF282" s="37" t="str">
        <f t="shared" si="207"/>
        <v>Nemesis</v>
      </c>
      <c r="DG282" s="77">
        <f t="shared" si="208"/>
        <v>47</v>
      </c>
      <c r="DH282" s="37" t="str">
        <f t="shared" si="209"/>
        <v>Nemesis</v>
      </c>
      <c r="DI282" s="77">
        <f t="shared" si="210"/>
        <v>47</v>
      </c>
      <c r="DJ282" s="37" t="str">
        <f t="shared" si="211"/>
        <v>Nemesis</v>
      </c>
      <c r="DK282" s="77">
        <f t="shared" si="212"/>
        <v>47</v>
      </c>
      <c r="DL282" s="37" t="str">
        <f t="shared" si="213"/>
        <v>Nemesis</v>
      </c>
      <c r="DN282" s="32">
        <v>281</v>
      </c>
      <c r="DO282" s="34" t="s">
        <v>691</v>
      </c>
      <c r="DP282" s="38">
        <f t="shared" si="195"/>
        <v>0</v>
      </c>
      <c r="DQ282" s="173" t="str">
        <f t="shared" si="192"/>
        <v>(Mark) 0</v>
      </c>
      <c r="DR282" s="36" t="str">
        <f t="shared" si="193"/>
        <v/>
      </c>
      <c r="DV282" s="176">
        <f t="shared" si="190"/>
        <v>0</v>
      </c>
      <c r="DW282" s="243">
        <f>IF(COUNTIF('Char Sheet p1'!$AP$7:$AP$35,DQ282)=0,0,ROUNDDOWN(SUMIF('Char Sheet p1'!$AP$7:$AP$35,DQ282,'Char Sheet p1'!$AQ$7:$AQ$35)/10,0))</f>
        <v>0</v>
      </c>
      <c r="DX282" s="240">
        <f t="shared" si="194"/>
        <v>0</v>
      </c>
      <c r="DY282" s="36">
        <f t="shared" si="197"/>
        <v>21</v>
      </c>
      <c r="DZ282" s="36" t="str">
        <f t="shared" si="191"/>
        <v/>
      </c>
      <c r="EE282" s="36">
        <f t="shared" si="196"/>
        <v>4</v>
      </c>
    </row>
    <row r="283" spans="33:135">
      <c r="AG283" s="61" t="s">
        <v>220</v>
      </c>
      <c r="AH283" s="62" t="s">
        <v>174</v>
      </c>
      <c r="AI283" s="62"/>
      <c r="AJ283" s="63"/>
      <c r="AK283" s="63">
        <v>1</v>
      </c>
      <c r="AL283" s="63"/>
      <c r="AM283" s="63">
        <v>1</v>
      </c>
      <c r="AN283" s="63">
        <f t="shared" si="198"/>
        <v>48</v>
      </c>
      <c r="AO283" s="64" t="s">
        <v>240</v>
      </c>
      <c r="AP283" s="134"/>
      <c r="AQ283" s="47"/>
      <c r="AR283" s="134"/>
      <c r="AS283" s="47"/>
      <c r="AT283" s="134"/>
      <c r="AU283" s="47"/>
      <c r="AV283" s="134"/>
      <c r="AW283" s="47"/>
      <c r="AX283" s="134"/>
      <c r="AY283" s="47"/>
      <c r="AZ283" s="134"/>
      <c r="BA283" s="47"/>
      <c r="BB283" s="134"/>
      <c r="BC283" s="47"/>
      <c r="BD283" s="134"/>
      <c r="BE283" s="47"/>
      <c r="BF283" s="134"/>
      <c r="BG283" s="47"/>
      <c r="BH283" s="134"/>
      <c r="BI283" s="47"/>
      <c r="BJ283" s="134"/>
      <c r="BK283" s="47"/>
      <c r="BL283" s="134"/>
      <c r="BM283" s="47"/>
      <c r="BN283" s="134"/>
      <c r="BO283" s="47"/>
      <c r="BP283" s="134"/>
      <c r="BQ283" s="47"/>
      <c r="BR283" s="134"/>
      <c r="BS283" s="47"/>
      <c r="BT283" s="134"/>
      <c r="BU283" s="47"/>
      <c r="BV283" s="134"/>
      <c r="BW283" s="47"/>
      <c r="BX283" s="134"/>
      <c r="BY283" s="47"/>
      <c r="BZ283" s="134"/>
      <c r="CA283" s="47"/>
      <c r="CB283" s="127"/>
      <c r="CC283" s="127"/>
      <c r="CD283" s="127"/>
      <c r="CE283" s="127"/>
      <c r="CF283" s="127"/>
      <c r="CG283" s="127"/>
      <c r="CH283" s="127"/>
      <c r="CI283" s="127"/>
      <c r="CJ283" s="127"/>
      <c r="CK283" s="77">
        <f t="shared" si="161"/>
        <v>48</v>
      </c>
      <c r="CL283" s="37" t="str">
        <f t="shared" si="199"/>
        <v>Outcast</v>
      </c>
      <c r="CM283" s="77">
        <f t="shared" si="163"/>
        <v>48</v>
      </c>
      <c r="CN283" s="37" t="str">
        <f t="shared" si="186"/>
        <v>Outcast</v>
      </c>
      <c r="CO283" s="77">
        <f t="shared" si="164"/>
        <v>48</v>
      </c>
      <c r="CP283" s="37" t="str">
        <f t="shared" si="165"/>
        <v>Outcast</v>
      </c>
      <c r="CQ283" s="77">
        <f t="shared" si="166"/>
        <v>48</v>
      </c>
      <c r="CR283" s="37" t="str">
        <f t="shared" si="200"/>
        <v>Outcast</v>
      </c>
      <c r="CS283" s="77">
        <f t="shared" si="168"/>
        <v>48</v>
      </c>
      <c r="CT283" s="37" t="str">
        <f t="shared" si="201"/>
        <v>Outcast</v>
      </c>
      <c r="CU283" s="77">
        <f t="shared" si="170"/>
        <v>48</v>
      </c>
      <c r="CV283" s="37" t="str">
        <f t="shared" si="202"/>
        <v>Outcast</v>
      </c>
      <c r="CW283" s="77">
        <f t="shared" si="172"/>
        <v>48</v>
      </c>
      <c r="CX283" s="37" t="str">
        <f t="shared" si="203"/>
        <v>Outcast</v>
      </c>
      <c r="DA283" s="77">
        <f t="shared" si="174"/>
        <v>48</v>
      </c>
      <c r="DB283" s="37" t="str">
        <f t="shared" si="204"/>
        <v>Outcast</v>
      </c>
      <c r="DC283" s="77">
        <f t="shared" si="174"/>
        <v>48</v>
      </c>
      <c r="DD283" s="37" t="str">
        <f t="shared" si="205"/>
        <v>Outcast</v>
      </c>
      <c r="DE283" s="77">
        <f t="shared" si="206"/>
        <v>48</v>
      </c>
      <c r="DF283" s="37" t="str">
        <f t="shared" si="207"/>
        <v>Outcast</v>
      </c>
      <c r="DG283" s="77">
        <f t="shared" si="208"/>
        <v>48</v>
      </c>
      <c r="DH283" s="37" t="str">
        <f t="shared" si="209"/>
        <v>Outcast</v>
      </c>
      <c r="DI283" s="77">
        <f t="shared" si="210"/>
        <v>48</v>
      </c>
      <c r="DJ283" s="37" t="str">
        <f t="shared" si="211"/>
        <v>Outcast</v>
      </c>
      <c r="DK283" s="77">
        <f t="shared" si="212"/>
        <v>48</v>
      </c>
      <c r="DL283" s="37" t="str">
        <f t="shared" si="213"/>
        <v>Outcast</v>
      </c>
      <c r="DN283" s="32">
        <v>282</v>
      </c>
      <c r="DO283" s="34" t="s">
        <v>691</v>
      </c>
      <c r="DP283" s="38">
        <f t="shared" si="195"/>
        <v>0</v>
      </c>
      <c r="DQ283" s="173" t="str">
        <f t="shared" si="192"/>
        <v>(Mark) 0</v>
      </c>
      <c r="DR283" s="36" t="str">
        <f t="shared" si="193"/>
        <v/>
      </c>
      <c r="DV283" s="176">
        <f t="shared" si="190"/>
        <v>0</v>
      </c>
      <c r="DW283" s="243">
        <f>IF(COUNTIF('Char Sheet p1'!$AP$7:$AP$35,DQ283)=0,0,ROUNDDOWN(SUMIF('Char Sheet p1'!$AP$7:$AP$35,DQ283,'Char Sheet p1'!$AQ$7:$AQ$35)/10,0))</f>
        <v>0</v>
      </c>
      <c r="DX283" s="240">
        <f t="shared" si="194"/>
        <v>0</v>
      </c>
      <c r="DY283" s="36">
        <f t="shared" si="197"/>
        <v>22</v>
      </c>
      <c r="DZ283" s="36" t="str">
        <f t="shared" si="191"/>
        <v/>
      </c>
      <c r="EE283" s="36">
        <f t="shared" si="196"/>
        <v>4</v>
      </c>
    </row>
    <row r="284" spans="33:135">
      <c r="AG284" s="61" t="s">
        <v>221</v>
      </c>
      <c r="AH284" s="62" t="s">
        <v>174</v>
      </c>
      <c r="AI284" s="62"/>
      <c r="AJ284" s="63"/>
      <c r="AK284" s="63">
        <v>1</v>
      </c>
      <c r="AL284" s="63"/>
      <c r="AM284" s="63">
        <v>1</v>
      </c>
      <c r="AN284" s="63">
        <f t="shared" si="198"/>
        <v>49</v>
      </c>
      <c r="AO284" s="64" t="s">
        <v>241</v>
      </c>
      <c r="AP284" s="134"/>
      <c r="AQ284" s="47"/>
      <c r="AR284" s="134"/>
      <c r="AS284" s="47"/>
      <c r="AT284" s="134"/>
      <c r="AU284" s="47"/>
      <c r="AV284" s="134"/>
      <c r="AW284" s="47"/>
      <c r="AX284" s="134"/>
      <c r="AY284" s="47"/>
      <c r="AZ284" s="134"/>
      <c r="BA284" s="47"/>
      <c r="BB284" s="134"/>
      <c r="BC284" s="47"/>
      <c r="BD284" s="134"/>
      <c r="BE284" s="47"/>
      <c r="BF284" s="134"/>
      <c r="BG284" s="47"/>
      <c r="BH284" s="134"/>
      <c r="BI284" s="47"/>
      <c r="BJ284" s="134"/>
      <c r="BK284" s="47"/>
      <c r="BL284" s="134"/>
      <c r="BM284" s="47"/>
      <c r="BN284" s="134"/>
      <c r="BO284" s="47"/>
      <c r="BP284" s="134">
        <v>-2</v>
      </c>
      <c r="BQ284" s="47"/>
      <c r="BR284" s="134"/>
      <c r="BS284" s="47"/>
      <c r="BT284" s="134"/>
      <c r="BU284" s="47"/>
      <c r="BV284" s="134"/>
      <c r="BW284" s="47"/>
      <c r="BX284" s="134"/>
      <c r="BY284" s="47"/>
      <c r="BZ284" s="134"/>
      <c r="CA284" s="47"/>
      <c r="CB284" s="127"/>
      <c r="CC284" s="127"/>
      <c r="CD284" s="127"/>
      <c r="CE284" s="127"/>
      <c r="CF284" s="127"/>
      <c r="CG284" s="127"/>
      <c r="CH284" s="127"/>
      <c r="CI284" s="127"/>
      <c r="CJ284" s="127"/>
      <c r="CK284" s="77">
        <f t="shared" si="161"/>
        <v>49</v>
      </c>
      <c r="CL284" s="37" t="str">
        <f t="shared" si="199"/>
        <v>Poor Health</v>
      </c>
      <c r="CM284" s="77">
        <f t="shared" si="163"/>
        <v>49</v>
      </c>
      <c r="CN284" s="37" t="str">
        <f t="shared" si="186"/>
        <v>Poor Health</v>
      </c>
      <c r="CO284" s="77">
        <f t="shared" si="164"/>
        <v>49</v>
      </c>
      <c r="CP284" s="37" t="str">
        <f t="shared" si="165"/>
        <v>Poor Health</v>
      </c>
      <c r="CQ284" s="77">
        <f t="shared" si="166"/>
        <v>49</v>
      </c>
      <c r="CR284" s="37" t="str">
        <f t="shared" si="200"/>
        <v>Poor Health</v>
      </c>
      <c r="CS284" s="77">
        <f t="shared" si="168"/>
        <v>49</v>
      </c>
      <c r="CT284" s="37" t="str">
        <f t="shared" si="201"/>
        <v>Poor Health</v>
      </c>
      <c r="CU284" s="77">
        <f t="shared" si="170"/>
        <v>49</v>
      </c>
      <c r="CV284" s="37" t="str">
        <f t="shared" si="202"/>
        <v>Poor Health</v>
      </c>
      <c r="CW284" s="77">
        <f t="shared" si="172"/>
        <v>49</v>
      </c>
      <c r="CX284" s="37" t="str">
        <f t="shared" si="203"/>
        <v>Poor Health</v>
      </c>
      <c r="DA284" s="77">
        <f t="shared" si="174"/>
        <v>49</v>
      </c>
      <c r="DB284" s="37" t="str">
        <f t="shared" si="204"/>
        <v>Poor Health</v>
      </c>
      <c r="DC284" s="77">
        <f t="shared" si="174"/>
        <v>49</v>
      </c>
      <c r="DD284" s="37" t="str">
        <f t="shared" si="205"/>
        <v>Poor Health</v>
      </c>
      <c r="DE284" s="77">
        <f t="shared" si="206"/>
        <v>49</v>
      </c>
      <c r="DF284" s="37" t="str">
        <f t="shared" si="207"/>
        <v>Poor Health</v>
      </c>
      <c r="DG284" s="77">
        <f t="shared" si="208"/>
        <v>49</v>
      </c>
      <c r="DH284" s="37" t="str">
        <f t="shared" si="209"/>
        <v>Poor Health</v>
      </c>
      <c r="DI284" s="77">
        <f t="shared" si="210"/>
        <v>49</v>
      </c>
      <c r="DJ284" s="37" t="str">
        <f t="shared" si="211"/>
        <v>Poor Health</v>
      </c>
      <c r="DK284" s="77">
        <f t="shared" si="212"/>
        <v>49</v>
      </c>
      <c r="DL284" s="37" t="str">
        <f t="shared" si="213"/>
        <v>Poor Health</v>
      </c>
      <c r="DN284" s="32">
        <v>283</v>
      </c>
      <c r="DO284" s="34" t="s">
        <v>691</v>
      </c>
      <c r="DP284" s="38">
        <f t="shared" si="195"/>
        <v>0</v>
      </c>
      <c r="DQ284" s="173" t="str">
        <f t="shared" si="192"/>
        <v>(Mark) 0</v>
      </c>
      <c r="DR284" s="36" t="str">
        <f t="shared" si="193"/>
        <v/>
      </c>
      <c r="DV284" s="176">
        <f t="shared" si="190"/>
        <v>0</v>
      </c>
      <c r="DW284" s="243">
        <f>IF(COUNTIF('Char Sheet p1'!$AP$7:$AP$35,DQ284)=0,0,ROUNDDOWN(SUMIF('Char Sheet p1'!$AP$7:$AP$35,DQ284,'Char Sheet p1'!$AQ$7:$AQ$35)/10,0))</f>
        <v>0</v>
      </c>
      <c r="DX284" s="240">
        <f t="shared" si="194"/>
        <v>0</v>
      </c>
      <c r="DY284" s="36">
        <f t="shared" si="197"/>
        <v>23</v>
      </c>
      <c r="DZ284" s="36" t="str">
        <f t="shared" si="191"/>
        <v/>
      </c>
      <c r="EE284" s="36">
        <f t="shared" si="196"/>
        <v>4</v>
      </c>
    </row>
    <row r="285" spans="33:135">
      <c r="AG285" s="61" t="s">
        <v>222</v>
      </c>
      <c r="AH285" s="62" t="s">
        <v>174</v>
      </c>
      <c r="AI285" s="62"/>
      <c r="AJ285" s="63"/>
      <c r="AK285" s="63">
        <v>1</v>
      </c>
      <c r="AL285" s="63"/>
      <c r="AM285" s="63">
        <v>1</v>
      </c>
      <c r="AN285" s="63">
        <f t="shared" si="198"/>
        <v>50</v>
      </c>
      <c r="AO285" s="64" t="s">
        <v>242</v>
      </c>
      <c r="AP285" s="134"/>
      <c r="AQ285" s="47"/>
      <c r="AR285" s="134"/>
      <c r="AS285" s="47"/>
      <c r="AT285" s="134"/>
      <c r="AU285" s="47"/>
      <c r="AV285" s="134"/>
      <c r="AW285" s="47"/>
      <c r="AX285" s="134"/>
      <c r="AY285" s="47"/>
      <c r="AZ285" s="134"/>
      <c r="BA285" s="47"/>
      <c r="BB285" s="134"/>
      <c r="BC285" s="47"/>
      <c r="BD285" s="134"/>
      <c r="BE285" s="47"/>
      <c r="BF285" s="134"/>
      <c r="BG285" s="47"/>
      <c r="BH285" s="134"/>
      <c r="BI285" s="47"/>
      <c r="BJ285" s="134"/>
      <c r="BK285" s="47"/>
      <c r="BL285" s="134"/>
      <c r="BM285" s="47"/>
      <c r="BN285" s="134"/>
      <c r="BO285" s="47"/>
      <c r="BP285" s="134"/>
      <c r="BQ285" s="47"/>
      <c r="BR285" s="134"/>
      <c r="BS285" s="47"/>
      <c r="BT285" s="134"/>
      <c r="BU285" s="47"/>
      <c r="BV285" s="134"/>
      <c r="BW285" s="47"/>
      <c r="BX285" s="134"/>
      <c r="BY285" s="47"/>
      <c r="BZ285" s="134"/>
      <c r="CA285" s="47"/>
      <c r="CB285" s="127"/>
      <c r="CC285" s="127"/>
      <c r="CD285" s="127"/>
      <c r="CE285" s="127"/>
      <c r="CF285" s="127"/>
      <c r="CG285" s="127"/>
      <c r="CH285" s="127"/>
      <c r="CI285" s="127"/>
      <c r="CJ285" s="127"/>
      <c r="CK285" s="77">
        <f t="shared" si="161"/>
        <v>50</v>
      </c>
      <c r="CL285" s="37" t="str">
        <f t="shared" si="199"/>
        <v>Reviled</v>
      </c>
      <c r="CM285" s="77">
        <f t="shared" si="163"/>
        <v>50</v>
      </c>
      <c r="CN285" s="37" t="str">
        <f t="shared" si="186"/>
        <v>Reviled</v>
      </c>
      <c r="CO285" s="77">
        <f t="shared" si="164"/>
        <v>50</v>
      </c>
      <c r="CP285" s="37" t="str">
        <f t="shared" si="165"/>
        <v>Reviled</v>
      </c>
      <c r="CQ285" s="77">
        <f t="shared" si="166"/>
        <v>50</v>
      </c>
      <c r="CR285" s="37" t="str">
        <f t="shared" si="200"/>
        <v>Reviled</v>
      </c>
      <c r="CS285" s="77">
        <f t="shared" si="168"/>
        <v>50</v>
      </c>
      <c r="CT285" s="37" t="str">
        <f t="shared" si="201"/>
        <v>Reviled</v>
      </c>
      <c r="CU285" s="77">
        <f t="shared" si="170"/>
        <v>50</v>
      </c>
      <c r="CV285" s="37" t="str">
        <f t="shared" si="202"/>
        <v>Reviled</v>
      </c>
      <c r="CW285" s="77">
        <f t="shared" si="172"/>
        <v>50</v>
      </c>
      <c r="CX285" s="37" t="str">
        <f t="shared" si="203"/>
        <v>Reviled</v>
      </c>
      <c r="DA285" s="77">
        <f t="shared" si="174"/>
        <v>50</v>
      </c>
      <c r="DB285" s="37" t="str">
        <f t="shared" si="204"/>
        <v>Reviled</v>
      </c>
      <c r="DC285" s="77">
        <f t="shared" si="174"/>
        <v>50</v>
      </c>
      <c r="DD285" s="37" t="str">
        <f t="shared" si="205"/>
        <v>Reviled</v>
      </c>
      <c r="DE285" s="77">
        <f t="shared" si="206"/>
        <v>50</v>
      </c>
      <c r="DF285" s="37" t="str">
        <f t="shared" si="207"/>
        <v>Reviled</v>
      </c>
      <c r="DG285" s="77">
        <f t="shared" si="208"/>
        <v>50</v>
      </c>
      <c r="DH285" s="37" t="str">
        <f t="shared" si="209"/>
        <v>Reviled</v>
      </c>
      <c r="DI285" s="77">
        <f t="shared" si="210"/>
        <v>50</v>
      </c>
      <c r="DJ285" s="37" t="str">
        <f t="shared" si="211"/>
        <v>Reviled</v>
      </c>
      <c r="DK285" s="77">
        <f t="shared" si="212"/>
        <v>50</v>
      </c>
      <c r="DL285" s="37" t="str">
        <f t="shared" si="213"/>
        <v>Reviled</v>
      </c>
      <c r="DN285" s="32">
        <v>284</v>
      </c>
      <c r="DO285" s="34" t="s">
        <v>691</v>
      </c>
      <c r="DP285" s="38">
        <f t="shared" si="195"/>
        <v>0</v>
      </c>
      <c r="DQ285" s="173" t="str">
        <f t="shared" si="192"/>
        <v>(Mark) 0</v>
      </c>
      <c r="DR285" s="36" t="str">
        <f t="shared" si="193"/>
        <v/>
      </c>
      <c r="DV285" s="176">
        <f t="shared" si="190"/>
        <v>0</v>
      </c>
      <c r="DW285" s="243">
        <f>IF(COUNTIF('Char Sheet p1'!$AP$7:$AP$35,DQ285)=0,0,ROUNDDOWN(SUMIF('Char Sheet p1'!$AP$7:$AP$35,DQ285,'Char Sheet p1'!$AQ$7:$AQ$35)/10,0))</f>
        <v>0</v>
      </c>
      <c r="DX285" s="240">
        <f t="shared" si="194"/>
        <v>0</v>
      </c>
      <c r="DY285" s="36">
        <f t="shared" si="197"/>
        <v>24</v>
      </c>
      <c r="DZ285" s="36" t="str">
        <f t="shared" si="191"/>
        <v/>
      </c>
      <c r="EE285" s="36">
        <f t="shared" si="196"/>
        <v>4</v>
      </c>
    </row>
    <row r="286" spans="33:135">
      <c r="AG286" s="61" t="s">
        <v>223</v>
      </c>
      <c r="AH286" s="62" t="s">
        <v>174</v>
      </c>
      <c r="AI286" s="62"/>
      <c r="AJ286" s="63"/>
      <c r="AK286" s="63">
        <v>1</v>
      </c>
      <c r="AL286" s="63"/>
      <c r="AM286" s="63">
        <v>1</v>
      </c>
      <c r="AN286" s="63">
        <f t="shared" si="198"/>
        <v>51</v>
      </c>
      <c r="AO286" s="64" t="s">
        <v>243</v>
      </c>
      <c r="AP286" s="134"/>
      <c r="AQ286" s="47"/>
      <c r="AR286" s="134"/>
      <c r="AS286" s="47"/>
      <c r="AT286" s="134"/>
      <c r="AU286" s="47"/>
      <c r="AV286" s="134"/>
      <c r="AW286" s="47"/>
      <c r="AX286" s="134"/>
      <c r="AY286" s="47"/>
      <c r="AZ286" s="134"/>
      <c r="BA286" s="47"/>
      <c r="BB286" s="134"/>
      <c r="BC286" s="47"/>
      <c r="BD286" s="134"/>
      <c r="BE286" s="47"/>
      <c r="BF286" s="134"/>
      <c r="BG286" s="47"/>
      <c r="BH286" s="134"/>
      <c r="BI286" s="47"/>
      <c r="BJ286" s="134"/>
      <c r="BK286" s="47"/>
      <c r="BL286" s="134"/>
      <c r="BM286" s="47"/>
      <c r="BN286" s="134"/>
      <c r="BO286" s="47"/>
      <c r="BP286" s="134">
        <v>-1</v>
      </c>
      <c r="BQ286" s="47"/>
      <c r="BR286" s="134"/>
      <c r="BS286" s="47"/>
      <c r="BT286" s="134"/>
      <c r="BU286" s="47"/>
      <c r="BV286" s="134"/>
      <c r="BW286" s="47"/>
      <c r="BX286" s="134"/>
      <c r="BY286" s="47"/>
      <c r="BZ286" s="134"/>
      <c r="CA286" s="47"/>
      <c r="CB286" s="127"/>
      <c r="CC286" s="127"/>
      <c r="CD286" s="127"/>
      <c r="CE286" s="127"/>
      <c r="CF286" s="127"/>
      <c r="CG286" s="127"/>
      <c r="CH286" s="127"/>
      <c r="CI286" s="127"/>
      <c r="CJ286" s="127"/>
      <c r="CK286" s="77">
        <f t="shared" si="161"/>
        <v>51</v>
      </c>
      <c r="CL286" s="37" t="str">
        <f t="shared" si="199"/>
        <v>Sickly</v>
      </c>
      <c r="CM286" s="77">
        <f t="shared" si="163"/>
        <v>51</v>
      </c>
      <c r="CN286" s="37" t="str">
        <f t="shared" si="186"/>
        <v>Sickly</v>
      </c>
      <c r="CO286" s="77">
        <f t="shared" si="164"/>
        <v>51</v>
      </c>
      <c r="CP286" s="37" t="str">
        <f t="shared" si="165"/>
        <v>Sickly</v>
      </c>
      <c r="CQ286" s="77">
        <f t="shared" si="166"/>
        <v>51</v>
      </c>
      <c r="CR286" s="37" t="str">
        <f t="shared" si="200"/>
        <v>Sickly</v>
      </c>
      <c r="CS286" s="77">
        <f t="shared" si="168"/>
        <v>51</v>
      </c>
      <c r="CT286" s="37" t="str">
        <f t="shared" si="201"/>
        <v>Sickly</v>
      </c>
      <c r="CU286" s="77">
        <f t="shared" si="170"/>
        <v>51</v>
      </c>
      <c r="CV286" s="37" t="str">
        <f t="shared" si="202"/>
        <v>Sickly</v>
      </c>
      <c r="CW286" s="77">
        <f t="shared" si="172"/>
        <v>51</v>
      </c>
      <c r="CX286" s="37" t="str">
        <f t="shared" si="203"/>
        <v>Sickly</v>
      </c>
      <c r="DA286" s="77">
        <f t="shared" si="174"/>
        <v>51</v>
      </c>
      <c r="DB286" s="37" t="str">
        <f t="shared" si="204"/>
        <v>Sickly</v>
      </c>
      <c r="DC286" s="77">
        <f t="shared" si="174"/>
        <v>51</v>
      </c>
      <c r="DD286" s="37" t="str">
        <f t="shared" si="205"/>
        <v>Sickly</v>
      </c>
      <c r="DE286" s="77">
        <f t="shared" si="206"/>
        <v>51</v>
      </c>
      <c r="DF286" s="37" t="str">
        <f t="shared" si="207"/>
        <v>Sickly</v>
      </c>
      <c r="DG286" s="77">
        <f t="shared" si="208"/>
        <v>51</v>
      </c>
      <c r="DH286" s="37" t="str">
        <f t="shared" si="209"/>
        <v>Sickly</v>
      </c>
      <c r="DI286" s="77">
        <f t="shared" si="210"/>
        <v>51</v>
      </c>
      <c r="DJ286" s="37" t="str">
        <f t="shared" si="211"/>
        <v>Sickly</v>
      </c>
      <c r="DK286" s="77">
        <f t="shared" si="212"/>
        <v>51</v>
      </c>
      <c r="DL286" s="37" t="str">
        <f t="shared" si="213"/>
        <v>Sickly</v>
      </c>
      <c r="DN286" s="32">
        <v>285</v>
      </c>
      <c r="DO286" s="34" t="s">
        <v>691</v>
      </c>
      <c r="DP286" s="38">
        <f t="shared" si="195"/>
        <v>0</v>
      </c>
      <c r="DQ286" s="173" t="str">
        <f t="shared" si="192"/>
        <v>(Mark) 0</v>
      </c>
      <c r="DR286" s="36" t="str">
        <f t="shared" si="193"/>
        <v/>
      </c>
      <c r="DV286" s="176">
        <f t="shared" si="190"/>
        <v>0</v>
      </c>
      <c r="DW286" s="243">
        <f>IF(COUNTIF('Char Sheet p1'!$AP$7:$AP$35,DQ286)=0,0,ROUNDDOWN(SUMIF('Char Sheet p1'!$AP$7:$AP$35,DQ286,'Char Sheet p1'!$AQ$7:$AQ$35)/10,0))</f>
        <v>0</v>
      </c>
      <c r="DX286" s="240">
        <f t="shared" si="194"/>
        <v>0</v>
      </c>
      <c r="DY286" s="36">
        <f t="shared" si="197"/>
        <v>25</v>
      </c>
      <c r="DZ286" s="36" t="str">
        <f t="shared" si="191"/>
        <v/>
      </c>
      <c r="EE286" s="36">
        <f t="shared" si="196"/>
        <v>4</v>
      </c>
    </row>
    <row r="287" spans="33:135">
      <c r="AG287" s="61" t="s">
        <v>224</v>
      </c>
      <c r="AH287" s="62" t="s">
        <v>174</v>
      </c>
      <c r="AI287" s="62"/>
      <c r="AJ287" s="63"/>
      <c r="AK287" s="63">
        <v>1</v>
      </c>
      <c r="AL287" s="63"/>
      <c r="AM287" s="63">
        <v>1</v>
      </c>
      <c r="AN287" s="63">
        <f t="shared" si="198"/>
        <v>52</v>
      </c>
      <c r="AO287" s="64" t="s">
        <v>244</v>
      </c>
      <c r="AP287" s="134"/>
      <c r="AQ287" s="47"/>
      <c r="AR287" s="134"/>
      <c r="AS287" s="47"/>
      <c r="AT287" s="134"/>
      <c r="AU287" s="47"/>
      <c r="AV287" s="134"/>
      <c r="AW287" s="47"/>
      <c r="AX287" s="134"/>
      <c r="AY287" s="47"/>
      <c r="AZ287" s="134"/>
      <c r="BA287" s="47"/>
      <c r="BB287" s="134"/>
      <c r="BC287" s="47"/>
      <c r="BD287" s="134"/>
      <c r="BE287" s="47"/>
      <c r="BF287" s="134"/>
      <c r="BG287" s="47"/>
      <c r="BH287" s="134"/>
      <c r="BI287" s="47"/>
      <c r="BJ287" s="134"/>
      <c r="BK287" s="47"/>
      <c r="BL287" s="134"/>
      <c r="BM287" s="47"/>
      <c r="BN287" s="134"/>
      <c r="BO287" s="47"/>
      <c r="BP287" s="134"/>
      <c r="BQ287" s="47"/>
      <c r="BR287" s="134"/>
      <c r="BS287" s="47"/>
      <c r="BT287" s="134"/>
      <c r="BU287" s="47"/>
      <c r="BV287" s="134"/>
      <c r="BW287" s="47"/>
      <c r="BX287" s="134"/>
      <c r="BY287" s="47"/>
      <c r="BZ287" s="134"/>
      <c r="CA287" s="47"/>
      <c r="CB287" s="127"/>
      <c r="CC287" s="127"/>
      <c r="CD287" s="127"/>
      <c r="CE287" s="127"/>
      <c r="CF287" s="127"/>
      <c r="CG287" s="127"/>
      <c r="CH287" s="127"/>
      <c r="CI287" s="127"/>
      <c r="CJ287" s="127"/>
      <c r="CK287" s="77">
        <f t="shared" si="161"/>
        <v>52</v>
      </c>
      <c r="CL287" s="37" t="str">
        <f t="shared" si="199"/>
        <v>Supreme Arrogance</v>
      </c>
      <c r="CM287" s="77">
        <f t="shared" si="163"/>
        <v>52</v>
      </c>
      <c r="CN287" s="37" t="str">
        <f t="shared" si="186"/>
        <v>Supreme Arrogance</v>
      </c>
      <c r="CO287" s="77">
        <f t="shared" si="164"/>
        <v>52</v>
      </c>
      <c r="CP287" s="37" t="str">
        <f t="shared" si="165"/>
        <v>Supreme Arrogance</v>
      </c>
      <c r="CQ287" s="77">
        <f t="shared" si="166"/>
        <v>52</v>
      </c>
      <c r="CR287" s="37" t="str">
        <f t="shared" si="200"/>
        <v>Supreme Arrogance</v>
      </c>
      <c r="CS287" s="77">
        <f t="shared" si="168"/>
        <v>52</v>
      </c>
      <c r="CT287" s="37" t="str">
        <f t="shared" si="201"/>
        <v>Supreme Arrogance</v>
      </c>
      <c r="CU287" s="77">
        <f t="shared" si="170"/>
        <v>52</v>
      </c>
      <c r="CV287" s="37" t="str">
        <f t="shared" si="202"/>
        <v>Supreme Arrogance</v>
      </c>
      <c r="CW287" s="77">
        <f t="shared" si="172"/>
        <v>52</v>
      </c>
      <c r="CX287" s="37" t="str">
        <f t="shared" si="203"/>
        <v>Supreme Arrogance</v>
      </c>
      <c r="DA287" s="77">
        <f t="shared" si="174"/>
        <v>52</v>
      </c>
      <c r="DB287" s="37" t="str">
        <f t="shared" si="204"/>
        <v>Supreme Arrogance</v>
      </c>
      <c r="DC287" s="77">
        <f t="shared" si="174"/>
        <v>52</v>
      </c>
      <c r="DD287" s="37" t="str">
        <f t="shared" si="205"/>
        <v>Supreme Arrogance</v>
      </c>
      <c r="DE287" s="77">
        <f t="shared" si="206"/>
        <v>52</v>
      </c>
      <c r="DF287" s="37" t="str">
        <f t="shared" si="207"/>
        <v>Supreme Arrogance</v>
      </c>
      <c r="DG287" s="77">
        <f t="shared" si="208"/>
        <v>52</v>
      </c>
      <c r="DH287" s="37" t="str">
        <f t="shared" si="209"/>
        <v>Supreme Arrogance</v>
      </c>
      <c r="DI287" s="77">
        <f t="shared" si="210"/>
        <v>52</v>
      </c>
      <c r="DJ287" s="37" t="str">
        <f t="shared" si="211"/>
        <v>Supreme Arrogance</v>
      </c>
      <c r="DK287" s="77">
        <f t="shared" si="212"/>
        <v>52</v>
      </c>
      <c r="DL287" s="37" t="str">
        <f t="shared" si="213"/>
        <v>Supreme Arrogance</v>
      </c>
      <c r="DN287" s="32">
        <v>286</v>
      </c>
      <c r="DO287" s="34" t="s">
        <v>691</v>
      </c>
      <c r="DP287" s="38">
        <f t="shared" si="195"/>
        <v>0</v>
      </c>
      <c r="DQ287" s="173" t="str">
        <f t="shared" si="192"/>
        <v>(Mark) 0</v>
      </c>
      <c r="DR287" s="36" t="str">
        <f t="shared" si="193"/>
        <v/>
      </c>
      <c r="DV287" s="176">
        <f t="shared" si="190"/>
        <v>0</v>
      </c>
      <c r="DW287" s="243">
        <f>IF(COUNTIF('Char Sheet p1'!$AP$7:$AP$35,DQ287)=0,0,ROUNDDOWN(SUMIF('Char Sheet p1'!$AP$7:$AP$35,DQ287,'Char Sheet p1'!$AQ$7:$AQ$35)/10,0))</f>
        <v>0</v>
      </c>
      <c r="DX287" s="240">
        <f t="shared" si="194"/>
        <v>0</v>
      </c>
      <c r="DY287" s="36">
        <f t="shared" si="197"/>
        <v>26</v>
      </c>
      <c r="DZ287" s="36" t="str">
        <f t="shared" si="191"/>
        <v/>
      </c>
      <c r="EE287" s="55">
        <f t="shared" si="196"/>
        <v>4</v>
      </c>
    </row>
    <row r="288" spans="33:135">
      <c r="AG288" s="61" t="s">
        <v>225</v>
      </c>
      <c r="AH288" s="62" t="s">
        <v>174</v>
      </c>
      <c r="AI288" s="62"/>
      <c r="AJ288" s="63"/>
      <c r="AK288" s="63">
        <v>1</v>
      </c>
      <c r="AL288" s="63"/>
      <c r="AM288" s="63">
        <v>1</v>
      </c>
      <c r="AN288" s="63">
        <f t="shared" si="198"/>
        <v>53</v>
      </c>
      <c r="AO288" s="64" t="s">
        <v>245</v>
      </c>
      <c r="AP288" s="134"/>
      <c r="AQ288" s="47"/>
      <c r="AR288" s="134"/>
      <c r="AS288" s="47"/>
      <c r="AT288" s="134"/>
      <c r="AU288" s="47"/>
      <c r="AV288" s="134"/>
      <c r="AW288" s="47">
        <f>actstatus</f>
        <v>1</v>
      </c>
      <c r="AX288" s="134"/>
      <c r="AY288" s="47"/>
      <c r="AZ288" s="134"/>
      <c r="BA288" s="47"/>
      <c r="BB288" s="134"/>
      <c r="BC288" s="47"/>
      <c r="BD288" s="134"/>
      <c r="BE288" s="47"/>
      <c r="BF288" s="134"/>
      <c r="BG288" s="47"/>
      <c r="BH288" s="134"/>
      <c r="BI288" s="47"/>
      <c r="BJ288" s="134"/>
      <c r="BK288" s="47"/>
      <c r="BL288" s="134"/>
      <c r="BM288" s="47"/>
      <c r="BN288" s="134"/>
      <c r="BO288" s="47"/>
      <c r="BP288" s="134"/>
      <c r="BQ288" s="47"/>
      <c r="BR288" s="134"/>
      <c r="BS288" s="47"/>
      <c r="BT288" s="134"/>
      <c r="BU288" s="47"/>
      <c r="BV288" s="134"/>
      <c r="BW288" s="47"/>
      <c r="BX288" s="134"/>
      <c r="BY288" s="47"/>
      <c r="BZ288" s="134"/>
      <c r="CA288" s="47"/>
      <c r="CB288" s="127"/>
      <c r="CC288" s="127"/>
      <c r="CD288" s="127"/>
      <c r="CE288" s="127"/>
      <c r="CF288" s="127"/>
      <c r="CG288" s="127"/>
      <c r="CH288" s="127"/>
      <c r="CI288" s="127"/>
      <c r="CJ288" s="127"/>
      <c r="CK288" s="77">
        <f t="shared" si="161"/>
        <v>53</v>
      </c>
      <c r="CL288" s="37" t="str">
        <f t="shared" si="199"/>
        <v>Threatening</v>
      </c>
      <c r="CM288" s="77">
        <f t="shared" si="163"/>
        <v>53</v>
      </c>
      <c r="CN288" s="37" t="str">
        <f t="shared" si="186"/>
        <v>Threatening</v>
      </c>
      <c r="CO288" s="77">
        <f t="shared" si="164"/>
        <v>53</v>
      </c>
      <c r="CP288" s="37" t="str">
        <f t="shared" si="165"/>
        <v>Threatening</v>
      </c>
      <c r="CQ288" s="77">
        <f t="shared" si="166"/>
        <v>53</v>
      </c>
      <c r="CR288" s="37" t="str">
        <f t="shared" si="200"/>
        <v>Threatening</v>
      </c>
      <c r="CS288" s="77">
        <f t="shared" si="168"/>
        <v>53</v>
      </c>
      <c r="CT288" s="37" t="str">
        <f t="shared" si="201"/>
        <v>Threatening</v>
      </c>
      <c r="CU288" s="77">
        <f t="shared" si="170"/>
        <v>53</v>
      </c>
      <c r="CV288" s="37" t="str">
        <f t="shared" si="202"/>
        <v>Threatening</v>
      </c>
      <c r="CW288" s="77">
        <f t="shared" si="172"/>
        <v>53</v>
      </c>
      <c r="CX288" s="37" t="str">
        <f t="shared" si="203"/>
        <v>Threatening</v>
      </c>
      <c r="DA288" s="77">
        <f t="shared" si="174"/>
        <v>53</v>
      </c>
      <c r="DB288" s="37" t="str">
        <f t="shared" si="204"/>
        <v>Threatening</v>
      </c>
      <c r="DC288" s="77">
        <f t="shared" si="174"/>
        <v>53</v>
      </c>
      <c r="DD288" s="37" t="str">
        <f t="shared" si="205"/>
        <v>Threatening</v>
      </c>
      <c r="DE288" s="77">
        <f t="shared" si="206"/>
        <v>53</v>
      </c>
      <c r="DF288" s="37" t="str">
        <f t="shared" si="207"/>
        <v>Threatening</v>
      </c>
      <c r="DG288" s="77">
        <f t="shared" si="208"/>
        <v>53</v>
      </c>
      <c r="DH288" s="37" t="str">
        <f t="shared" si="209"/>
        <v>Threatening</v>
      </c>
      <c r="DI288" s="77">
        <f t="shared" si="210"/>
        <v>53</v>
      </c>
      <c r="DJ288" s="37" t="str">
        <f t="shared" si="211"/>
        <v>Threatening</v>
      </c>
      <c r="DK288" s="77">
        <f t="shared" si="212"/>
        <v>53</v>
      </c>
      <c r="DL288" s="37" t="str">
        <f t="shared" si="213"/>
        <v>Threatening</v>
      </c>
      <c r="DN288" s="32">
        <v>287</v>
      </c>
      <c r="DO288" s="34" t="s">
        <v>697</v>
      </c>
      <c r="DP288" s="38" t="str">
        <f t="shared" ref="DP288:DP313" si="214">X2</f>
        <v>Bargain</v>
      </c>
      <c r="DQ288" s="173" t="str">
        <f t="shared" si="192"/>
        <v>(Pers) Bargain</v>
      </c>
      <c r="DR288" s="36">
        <f t="shared" si="193"/>
        <v>287</v>
      </c>
      <c r="DV288" s="176">
        <f t="shared" si="190"/>
        <v>0</v>
      </c>
      <c r="DW288" s="243">
        <f>IF(COUNTIF('Char Sheet p1'!$AP$7:$AP$35,DQ288)=0,0,ROUNDDOWN(SUMIF('Char Sheet p1'!$AP$7:$AP$35,DQ288,'Char Sheet p1'!$AQ$7:$AQ$35)/10,0))</f>
        <v>0</v>
      </c>
      <c r="DX288" s="240">
        <f t="shared" si="194"/>
        <v>0</v>
      </c>
      <c r="DY288" s="36">
        <v>1</v>
      </c>
      <c r="DZ288" s="36" t="str">
        <f t="shared" si="191"/>
        <v/>
      </c>
      <c r="EE288" s="245">
        <f>'Char Sheet p1'!T12</f>
        <v>2</v>
      </c>
    </row>
    <row r="289" spans="33:135">
      <c r="AG289" s="61" t="s">
        <v>226</v>
      </c>
      <c r="AH289" s="62" t="s">
        <v>174</v>
      </c>
      <c r="AI289" s="62"/>
      <c r="AJ289" s="63"/>
      <c r="AK289" s="63">
        <v>1</v>
      </c>
      <c r="AL289" s="63"/>
      <c r="AM289" s="63">
        <v>1</v>
      </c>
      <c r="AN289" s="63">
        <f t="shared" si="198"/>
        <v>54</v>
      </c>
      <c r="AO289" s="67" t="s">
        <v>246</v>
      </c>
      <c r="AP289" s="134"/>
      <c r="AQ289" s="47"/>
      <c r="AR289" s="134"/>
      <c r="AS289" s="47"/>
      <c r="AT289" s="134"/>
      <c r="AU289" s="47"/>
      <c r="AV289" s="134"/>
      <c r="AW289" s="47"/>
      <c r="AX289" s="134"/>
      <c r="AY289" s="47"/>
      <c r="AZ289" s="134"/>
      <c r="BA289" s="47"/>
      <c r="BB289" s="134"/>
      <c r="BC289" s="47"/>
      <c r="BD289" s="134"/>
      <c r="BE289" s="47"/>
      <c r="BF289" s="134"/>
      <c r="BG289" s="47"/>
      <c r="BH289" s="134"/>
      <c r="BI289" s="47"/>
      <c r="BJ289" s="134"/>
      <c r="BK289" s="47"/>
      <c r="BL289" s="134"/>
      <c r="BM289" s="47"/>
      <c r="BN289" s="134"/>
      <c r="BO289" s="47"/>
      <c r="BP289" s="134"/>
      <c r="BQ289" s="47"/>
      <c r="BR289" s="134"/>
      <c r="BS289" s="47"/>
      <c r="BT289" s="134"/>
      <c r="BU289" s="47"/>
      <c r="BV289" s="134"/>
      <c r="BW289" s="47"/>
      <c r="BX289" s="134"/>
      <c r="BY289" s="47"/>
      <c r="BZ289" s="134"/>
      <c r="CA289" s="47"/>
      <c r="CB289" s="127"/>
      <c r="CC289" s="127"/>
      <c r="CD289" s="127"/>
      <c r="CE289" s="127"/>
      <c r="CF289" s="127"/>
      <c r="CG289" s="127"/>
      <c r="CH289" s="127"/>
      <c r="CI289" s="127"/>
      <c r="CJ289" s="127"/>
      <c r="CK289" s="77">
        <f t="shared" si="161"/>
        <v>54</v>
      </c>
      <c r="CL289" s="37" t="str">
        <f t="shared" si="199"/>
        <v/>
      </c>
      <c r="CM289" s="77">
        <f t="shared" si="163"/>
        <v>54</v>
      </c>
      <c r="CN289" s="37" t="str">
        <f t="shared" si="186"/>
        <v/>
      </c>
      <c r="CO289" s="77">
        <f t="shared" si="164"/>
        <v>54</v>
      </c>
      <c r="CP289" s="37" t="str">
        <f t="shared" si="165"/>
        <v/>
      </c>
      <c r="CQ289" s="77">
        <f t="shared" si="166"/>
        <v>54</v>
      </c>
      <c r="CR289" s="37" t="str">
        <f t="shared" si="200"/>
        <v/>
      </c>
      <c r="CS289" s="77">
        <f t="shared" si="168"/>
        <v>54</v>
      </c>
      <c r="CT289" s="37" t="str">
        <f t="shared" si="201"/>
        <v/>
      </c>
      <c r="CU289" s="77">
        <f t="shared" si="170"/>
        <v>54</v>
      </c>
      <c r="CV289" s="37" t="str">
        <f t="shared" si="202"/>
        <v/>
      </c>
      <c r="CW289" s="77">
        <f t="shared" si="172"/>
        <v>54</v>
      </c>
      <c r="CX289" s="37" t="str">
        <f t="shared" si="203"/>
        <v/>
      </c>
      <c r="DA289" s="77">
        <f t="shared" si="174"/>
        <v>54</v>
      </c>
      <c r="DB289" s="37" t="str">
        <f t="shared" si="204"/>
        <v/>
      </c>
      <c r="DC289" s="77">
        <f t="shared" si="174"/>
        <v>54</v>
      </c>
      <c r="DD289" s="37" t="str">
        <f t="shared" si="205"/>
        <v/>
      </c>
      <c r="DE289" s="77">
        <f t="shared" si="206"/>
        <v>54</v>
      </c>
      <c r="DF289" s="37" t="str">
        <f t="shared" si="207"/>
        <v/>
      </c>
      <c r="DG289" s="77">
        <f t="shared" si="208"/>
        <v>54</v>
      </c>
      <c r="DH289" s="37" t="str">
        <f t="shared" si="209"/>
        <v/>
      </c>
      <c r="DI289" s="77">
        <f t="shared" si="210"/>
        <v>54</v>
      </c>
      <c r="DJ289" s="37" t="str">
        <f t="shared" si="211"/>
        <v/>
      </c>
      <c r="DK289" s="77">
        <f t="shared" si="212"/>
        <v>54</v>
      </c>
      <c r="DL289" s="37" t="str">
        <f t="shared" si="213"/>
        <v/>
      </c>
      <c r="DN289" s="32">
        <v>288</v>
      </c>
      <c r="DO289" s="34" t="s">
        <v>697</v>
      </c>
      <c r="DP289" s="38" t="str">
        <f t="shared" si="214"/>
        <v>Charm</v>
      </c>
      <c r="DQ289" s="173" t="str">
        <f t="shared" si="192"/>
        <v>(Pers) Charm</v>
      </c>
      <c r="DR289" s="36">
        <f t="shared" si="193"/>
        <v>288</v>
      </c>
      <c r="DV289" s="176">
        <f t="shared" si="190"/>
        <v>0</v>
      </c>
      <c r="DW289" s="243">
        <f>IF(COUNTIF('Char Sheet p1'!$AP$7:$AP$35,DQ289)=0,0,ROUNDDOWN(SUMIF('Char Sheet p1'!$AP$7:$AP$35,DQ289,'Char Sheet p1'!$AQ$7:$AQ$35)/10,0))</f>
        <v>0</v>
      </c>
      <c r="DX289" s="240">
        <f t="shared" si="194"/>
        <v>0</v>
      </c>
      <c r="DY289" s="36">
        <v>2</v>
      </c>
      <c r="DZ289" s="36" t="str">
        <f t="shared" si="191"/>
        <v/>
      </c>
      <c r="EE289" s="36">
        <f>EE288</f>
        <v>2</v>
      </c>
    </row>
    <row r="290" spans="33:135">
      <c r="AG290" s="61"/>
      <c r="AH290" s="62"/>
      <c r="AI290" s="62"/>
      <c r="AJ290" s="63"/>
      <c r="AK290" s="63"/>
      <c r="AL290" s="63"/>
      <c r="AM290" s="62"/>
      <c r="AN290" s="63">
        <f t="shared" si="187"/>
        <v>55</v>
      </c>
      <c r="AO290" s="64"/>
      <c r="AP290" s="134"/>
      <c r="AQ290" s="47"/>
      <c r="AR290" s="134"/>
      <c r="AS290" s="47"/>
      <c r="AT290" s="134"/>
      <c r="AU290" s="47"/>
      <c r="AV290" s="134"/>
      <c r="AW290" s="47"/>
      <c r="AX290" s="134"/>
      <c r="AY290" s="47"/>
      <c r="AZ290" s="134"/>
      <c r="BA290" s="47"/>
      <c r="BB290" s="134"/>
      <c r="BC290" s="47"/>
      <c r="BD290" s="134"/>
      <c r="BE290" s="47"/>
      <c r="BF290" s="134"/>
      <c r="BG290" s="47"/>
      <c r="BH290" s="134"/>
      <c r="BI290" s="47"/>
      <c r="BJ290" s="134"/>
      <c r="BK290" s="47"/>
      <c r="BL290" s="134"/>
      <c r="BM290" s="47"/>
      <c r="BN290" s="134"/>
      <c r="BO290" s="47"/>
      <c r="BP290" s="134"/>
      <c r="BQ290" s="47"/>
      <c r="BR290" s="134"/>
      <c r="BS290" s="47"/>
      <c r="BT290" s="134"/>
      <c r="BU290" s="47"/>
      <c r="BV290" s="134"/>
      <c r="BW290" s="47"/>
      <c r="BX290" s="134"/>
      <c r="BY290" s="47"/>
      <c r="BZ290" s="134"/>
      <c r="CA290" s="47"/>
      <c r="CB290" s="127"/>
      <c r="CC290" s="127"/>
      <c r="CD290" s="127"/>
      <c r="CE290" s="127"/>
      <c r="CF290" s="127"/>
      <c r="CG290" s="127"/>
      <c r="CH290" s="127"/>
      <c r="CI290" s="127"/>
      <c r="CJ290" s="127"/>
      <c r="CK290" s="77" t="str">
        <f t="shared" si="161"/>
        <v/>
      </c>
      <c r="CL290" s="37" t="str">
        <f t="shared" si="199"/>
        <v/>
      </c>
      <c r="CM290" s="77" t="str">
        <f t="shared" si="163"/>
        <v/>
      </c>
      <c r="CN290" s="37" t="str">
        <f t="shared" si="186"/>
        <v/>
      </c>
      <c r="CO290" s="77" t="str">
        <f t="shared" si="164"/>
        <v/>
      </c>
      <c r="CP290" s="37" t="str">
        <f t="shared" si="165"/>
        <v/>
      </c>
      <c r="CQ290" s="77" t="str">
        <f t="shared" si="166"/>
        <v/>
      </c>
      <c r="CR290" s="37" t="str">
        <f t="shared" si="200"/>
        <v/>
      </c>
      <c r="CS290" s="77" t="str">
        <f t="shared" si="168"/>
        <v/>
      </c>
      <c r="CT290" s="37" t="str">
        <f t="shared" si="201"/>
        <v/>
      </c>
      <c r="CU290" s="77" t="str">
        <f t="shared" si="170"/>
        <v/>
      </c>
      <c r="CV290" s="37" t="str">
        <f t="shared" si="202"/>
        <v/>
      </c>
      <c r="CW290" s="77" t="str">
        <f t="shared" si="172"/>
        <v/>
      </c>
      <c r="CX290" s="37" t="str">
        <f t="shared" si="203"/>
        <v/>
      </c>
      <c r="DA290" s="77" t="str">
        <f t="shared" si="174"/>
        <v/>
      </c>
      <c r="DB290" s="37" t="str">
        <f t="shared" si="204"/>
        <v/>
      </c>
      <c r="DC290" s="77" t="str">
        <f t="shared" si="174"/>
        <v/>
      </c>
      <c r="DD290" s="37" t="str">
        <f t="shared" si="205"/>
        <v/>
      </c>
      <c r="DE290" s="77" t="str">
        <f t="shared" si="206"/>
        <v/>
      </c>
      <c r="DF290" s="37" t="str">
        <f t="shared" si="207"/>
        <v/>
      </c>
      <c r="DG290" s="77" t="str">
        <f t="shared" si="208"/>
        <v/>
      </c>
      <c r="DH290" s="37" t="str">
        <f t="shared" si="209"/>
        <v/>
      </c>
      <c r="DI290" s="77" t="str">
        <f t="shared" si="210"/>
        <v/>
      </c>
      <c r="DJ290" s="37" t="str">
        <f t="shared" si="211"/>
        <v/>
      </c>
      <c r="DK290" s="77" t="str">
        <f t="shared" si="212"/>
        <v/>
      </c>
      <c r="DL290" s="37" t="str">
        <f t="shared" si="213"/>
        <v/>
      </c>
      <c r="DN290" s="32">
        <v>289</v>
      </c>
      <c r="DO290" s="34" t="s">
        <v>697</v>
      </c>
      <c r="DP290" s="38" t="str">
        <f t="shared" si="214"/>
        <v>Convince</v>
      </c>
      <c r="DQ290" s="173" t="str">
        <f t="shared" si="192"/>
        <v>(Pers) Convince</v>
      </c>
      <c r="DR290" s="36">
        <f t="shared" si="193"/>
        <v>289</v>
      </c>
      <c r="DV290" s="176">
        <f t="shared" si="190"/>
        <v>0</v>
      </c>
      <c r="DW290" s="243">
        <f>IF(COUNTIF('Char Sheet p1'!$AP$7:$AP$35,DQ290)=0,0,ROUNDDOWN(SUMIF('Char Sheet p1'!$AP$7:$AP$35,DQ290,'Char Sheet p1'!$AQ$7:$AQ$35)/10,0))</f>
        <v>0</v>
      </c>
      <c r="DX290" s="240">
        <f t="shared" si="194"/>
        <v>0</v>
      </c>
      <c r="DY290" s="36">
        <v>3</v>
      </c>
      <c r="DZ290" s="36" t="str">
        <f t="shared" si="191"/>
        <v/>
      </c>
      <c r="EE290" s="36">
        <f t="shared" ref="EE290:EE313" si="215">EE289</f>
        <v>2</v>
      </c>
    </row>
    <row r="291" spans="33:135">
      <c r="AG291" s="61"/>
      <c r="AH291" s="62"/>
      <c r="AI291" s="62"/>
      <c r="AJ291" s="63"/>
      <c r="AK291" s="63"/>
      <c r="AL291" s="63"/>
      <c r="AM291" s="62"/>
      <c r="AN291" s="63">
        <f t="shared" si="187"/>
        <v>56</v>
      </c>
      <c r="AO291" s="64"/>
      <c r="AP291" s="134"/>
      <c r="AQ291" s="47"/>
      <c r="AR291" s="134"/>
      <c r="AS291" s="47"/>
      <c r="AT291" s="134"/>
      <c r="AU291" s="47"/>
      <c r="AV291" s="134"/>
      <c r="AW291" s="47"/>
      <c r="AX291" s="134"/>
      <c r="AY291" s="47"/>
      <c r="AZ291" s="134"/>
      <c r="BA291" s="47"/>
      <c r="BB291" s="134"/>
      <c r="BC291" s="47"/>
      <c r="BD291" s="134"/>
      <c r="BE291" s="47"/>
      <c r="BF291" s="134"/>
      <c r="BG291" s="47"/>
      <c r="BH291" s="134"/>
      <c r="BI291" s="47"/>
      <c r="BJ291" s="134"/>
      <c r="BK291" s="47"/>
      <c r="BL291" s="134"/>
      <c r="BM291" s="47"/>
      <c r="BN291" s="134"/>
      <c r="BO291" s="47"/>
      <c r="BP291" s="134"/>
      <c r="BQ291" s="47"/>
      <c r="BR291" s="134"/>
      <c r="BS291" s="47"/>
      <c r="BT291" s="134"/>
      <c r="BU291" s="47"/>
      <c r="BV291" s="134"/>
      <c r="BW291" s="47"/>
      <c r="BX291" s="134"/>
      <c r="BY291" s="47"/>
      <c r="BZ291" s="134"/>
      <c r="CA291" s="47"/>
      <c r="CB291" s="127"/>
      <c r="CC291" s="127"/>
      <c r="CD291" s="127"/>
      <c r="CE291" s="127"/>
      <c r="CF291" s="127"/>
      <c r="CG291" s="127"/>
      <c r="CH291" s="127"/>
      <c r="CI291" s="127"/>
      <c r="CJ291" s="127"/>
      <c r="CK291" s="77" t="str">
        <f t="shared" si="161"/>
        <v/>
      </c>
      <c r="CL291" s="37" t="str">
        <f t="shared" si="199"/>
        <v/>
      </c>
      <c r="CM291" s="77" t="str">
        <f t="shared" si="163"/>
        <v/>
      </c>
      <c r="CN291" s="37" t="str">
        <f t="shared" si="186"/>
        <v/>
      </c>
      <c r="CO291" s="77" t="str">
        <f t="shared" si="164"/>
        <v/>
      </c>
      <c r="CP291" s="37" t="str">
        <f t="shared" si="165"/>
        <v/>
      </c>
      <c r="CQ291" s="77" t="str">
        <f t="shared" si="166"/>
        <v/>
      </c>
      <c r="CR291" s="37" t="str">
        <f t="shared" si="200"/>
        <v/>
      </c>
      <c r="CS291" s="77" t="str">
        <f t="shared" si="168"/>
        <v/>
      </c>
      <c r="CT291" s="37" t="str">
        <f t="shared" si="201"/>
        <v/>
      </c>
      <c r="CU291" s="77" t="str">
        <f t="shared" si="170"/>
        <v/>
      </c>
      <c r="CV291" s="37" t="str">
        <f t="shared" si="202"/>
        <v/>
      </c>
      <c r="CW291" s="77" t="str">
        <f t="shared" si="172"/>
        <v/>
      </c>
      <c r="CX291" s="37" t="str">
        <f t="shared" si="203"/>
        <v/>
      </c>
      <c r="DA291" s="77" t="str">
        <f t="shared" si="174"/>
        <v/>
      </c>
      <c r="DB291" s="37" t="str">
        <f t="shared" si="204"/>
        <v/>
      </c>
      <c r="DC291" s="77" t="str">
        <f t="shared" si="174"/>
        <v/>
      </c>
      <c r="DD291" s="37" t="str">
        <f t="shared" si="205"/>
        <v/>
      </c>
      <c r="DE291" s="77" t="str">
        <f t="shared" si="206"/>
        <v/>
      </c>
      <c r="DF291" s="37" t="str">
        <f t="shared" si="207"/>
        <v/>
      </c>
      <c r="DG291" s="77" t="str">
        <f t="shared" si="208"/>
        <v/>
      </c>
      <c r="DH291" s="37" t="str">
        <f t="shared" si="209"/>
        <v/>
      </c>
      <c r="DI291" s="77" t="str">
        <f t="shared" si="210"/>
        <v/>
      </c>
      <c r="DJ291" s="37" t="str">
        <f t="shared" si="211"/>
        <v/>
      </c>
      <c r="DK291" s="77" t="str">
        <f t="shared" si="212"/>
        <v/>
      </c>
      <c r="DL291" s="37" t="str">
        <f t="shared" si="213"/>
        <v/>
      </c>
      <c r="DN291" s="32">
        <v>290</v>
      </c>
      <c r="DO291" s="34" t="s">
        <v>697</v>
      </c>
      <c r="DP291" s="38" t="str">
        <f t="shared" si="214"/>
        <v>Incite</v>
      </c>
      <c r="DQ291" s="173" t="str">
        <f t="shared" si="192"/>
        <v>(Pers) Incite</v>
      </c>
      <c r="DR291" s="36">
        <f t="shared" si="193"/>
        <v>290</v>
      </c>
      <c r="DV291" s="176">
        <f t="shared" si="190"/>
        <v>0</v>
      </c>
      <c r="DW291" s="243">
        <f>IF(COUNTIF('Char Sheet p1'!$AP$7:$AP$35,DQ291)=0,0,ROUNDDOWN(SUMIF('Char Sheet p1'!$AP$7:$AP$35,DQ291,'Char Sheet p1'!$AQ$7:$AQ$35)/10,0))</f>
        <v>0</v>
      </c>
      <c r="DX291" s="240">
        <f t="shared" si="194"/>
        <v>0</v>
      </c>
      <c r="DY291" s="36">
        <v>4</v>
      </c>
      <c r="DZ291" s="36" t="str">
        <f t="shared" si="191"/>
        <v/>
      </c>
      <c r="EE291" s="36">
        <f t="shared" si="215"/>
        <v>2</v>
      </c>
    </row>
    <row r="292" spans="33:135">
      <c r="AG292" s="61"/>
      <c r="AH292" s="62"/>
      <c r="AI292" s="62"/>
      <c r="AJ292" s="63"/>
      <c r="AK292" s="63"/>
      <c r="AL292" s="63"/>
      <c r="AM292" s="62"/>
      <c r="AN292" s="63">
        <f t="shared" si="187"/>
        <v>57</v>
      </c>
      <c r="AO292" s="64"/>
      <c r="AP292" s="134"/>
      <c r="AQ292" s="47"/>
      <c r="AR292" s="134"/>
      <c r="AS292" s="47"/>
      <c r="AT292" s="134"/>
      <c r="AU292" s="47"/>
      <c r="AV292" s="134"/>
      <c r="AW292" s="47"/>
      <c r="AX292" s="134"/>
      <c r="AY292" s="47"/>
      <c r="AZ292" s="134"/>
      <c r="BA292" s="47"/>
      <c r="BB292" s="134"/>
      <c r="BC292" s="47"/>
      <c r="BD292" s="134"/>
      <c r="BE292" s="47"/>
      <c r="BF292" s="134"/>
      <c r="BG292" s="47"/>
      <c r="BH292" s="134"/>
      <c r="BI292" s="47"/>
      <c r="BJ292" s="134"/>
      <c r="BK292" s="47"/>
      <c r="BL292" s="134"/>
      <c r="BM292" s="47"/>
      <c r="BN292" s="134"/>
      <c r="BO292" s="47"/>
      <c r="BP292" s="134"/>
      <c r="BQ292" s="47"/>
      <c r="BR292" s="134"/>
      <c r="BS292" s="47"/>
      <c r="BT292" s="134"/>
      <c r="BU292" s="47"/>
      <c r="BV292" s="134"/>
      <c r="BW292" s="47"/>
      <c r="BX292" s="134"/>
      <c r="BY292" s="47"/>
      <c r="BZ292" s="134"/>
      <c r="CA292" s="47"/>
      <c r="CB292" s="127"/>
      <c r="CC292" s="127"/>
      <c r="CD292" s="127"/>
      <c r="CE292" s="127"/>
      <c r="CF292" s="127"/>
      <c r="CG292" s="127"/>
      <c r="CH292" s="127"/>
      <c r="CI292" s="127"/>
      <c r="CJ292" s="127"/>
      <c r="CK292" s="77" t="str">
        <f t="shared" si="161"/>
        <v/>
      </c>
      <c r="CL292" s="37" t="str">
        <f t="shared" si="199"/>
        <v/>
      </c>
      <c r="CM292" s="77" t="str">
        <f t="shared" si="163"/>
        <v/>
      </c>
      <c r="CN292" s="37" t="str">
        <f t="shared" si="186"/>
        <v/>
      </c>
      <c r="CO292" s="77" t="str">
        <f t="shared" si="164"/>
        <v/>
      </c>
      <c r="CP292" s="37" t="str">
        <f t="shared" si="165"/>
        <v/>
      </c>
      <c r="CQ292" s="77" t="str">
        <f t="shared" si="166"/>
        <v/>
      </c>
      <c r="CR292" s="37" t="str">
        <f t="shared" si="200"/>
        <v/>
      </c>
      <c r="CS292" s="77" t="str">
        <f t="shared" si="168"/>
        <v/>
      </c>
      <c r="CT292" s="37" t="str">
        <f t="shared" si="201"/>
        <v/>
      </c>
      <c r="CU292" s="77" t="str">
        <f t="shared" si="170"/>
        <v/>
      </c>
      <c r="CV292" s="37" t="str">
        <f t="shared" si="202"/>
        <v/>
      </c>
      <c r="CW292" s="77" t="str">
        <f t="shared" si="172"/>
        <v/>
      </c>
      <c r="CX292" s="37" t="str">
        <f t="shared" si="203"/>
        <v/>
      </c>
      <c r="DA292" s="77" t="str">
        <f t="shared" si="174"/>
        <v/>
      </c>
      <c r="DB292" s="37" t="str">
        <f t="shared" si="204"/>
        <v/>
      </c>
      <c r="DC292" s="77" t="str">
        <f t="shared" si="174"/>
        <v/>
      </c>
      <c r="DD292" s="37" t="str">
        <f t="shared" si="205"/>
        <v/>
      </c>
      <c r="DE292" s="77" t="str">
        <f t="shared" si="206"/>
        <v/>
      </c>
      <c r="DF292" s="37" t="str">
        <f t="shared" si="207"/>
        <v/>
      </c>
      <c r="DG292" s="77" t="str">
        <f t="shared" si="208"/>
        <v/>
      </c>
      <c r="DH292" s="37" t="str">
        <f t="shared" si="209"/>
        <v/>
      </c>
      <c r="DI292" s="77" t="str">
        <f t="shared" si="210"/>
        <v/>
      </c>
      <c r="DJ292" s="37" t="str">
        <f t="shared" si="211"/>
        <v/>
      </c>
      <c r="DK292" s="77" t="str">
        <f t="shared" si="212"/>
        <v/>
      </c>
      <c r="DL292" s="37" t="str">
        <f t="shared" si="213"/>
        <v/>
      </c>
      <c r="DN292" s="32">
        <v>291</v>
      </c>
      <c r="DO292" s="34" t="s">
        <v>697</v>
      </c>
      <c r="DP292" s="38" t="str">
        <f t="shared" si="214"/>
        <v>Intimidate</v>
      </c>
      <c r="DQ292" s="173" t="str">
        <f t="shared" si="192"/>
        <v>(Pers) Intimidate</v>
      </c>
      <c r="DR292" s="36">
        <f t="shared" si="193"/>
        <v>291</v>
      </c>
      <c r="DV292" s="176">
        <f t="shared" si="190"/>
        <v>0</v>
      </c>
      <c r="DW292" s="243">
        <f>IF(COUNTIF('Char Sheet p1'!$AP$7:$AP$35,DQ292)=0,0,ROUNDDOWN(SUMIF('Char Sheet p1'!$AP$7:$AP$35,DQ292,'Char Sheet p1'!$AQ$7:$AQ$35)/10,0))</f>
        <v>0</v>
      </c>
      <c r="DX292" s="240">
        <f t="shared" si="194"/>
        <v>0</v>
      </c>
      <c r="DY292" s="36">
        <f>DY291+1</f>
        <v>5</v>
      </c>
      <c r="DZ292" s="36" t="str">
        <f t="shared" si="191"/>
        <v/>
      </c>
      <c r="EE292" s="36">
        <f t="shared" si="215"/>
        <v>2</v>
      </c>
    </row>
    <row r="293" spans="33:135">
      <c r="AG293" s="61"/>
      <c r="AH293" s="62"/>
      <c r="AI293" s="62"/>
      <c r="AJ293" s="63"/>
      <c r="AK293" s="63"/>
      <c r="AL293" s="63"/>
      <c r="AM293" s="62"/>
      <c r="AN293" s="63">
        <f t="shared" si="187"/>
        <v>58</v>
      </c>
      <c r="AO293" s="64"/>
      <c r="AP293" s="134"/>
      <c r="AQ293" s="47"/>
      <c r="AR293" s="134"/>
      <c r="AS293" s="47"/>
      <c r="AT293" s="134"/>
      <c r="AU293" s="47"/>
      <c r="AV293" s="134"/>
      <c r="AW293" s="47"/>
      <c r="AX293" s="134"/>
      <c r="AY293" s="47"/>
      <c r="AZ293" s="134"/>
      <c r="BA293" s="47"/>
      <c r="BB293" s="134"/>
      <c r="BC293" s="47"/>
      <c r="BD293" s="134"/>
      <c r="BE293" s="47"/>
      <c r="BF293" s="134"/>
      <c r="BG293" s="47"/>
      <c r="BH293" s="134"/>
      <c r="BI293" s="47"/>
      <c r="BJ293" s="134"/>
      <c r="BK293" s="47"/>
      <c r="BL293" s="134"/>
      <c r="BM293" s="47"/>
      <c r="BN293" s="134"/>
      <c r="BO293" s="47"/>
      <c r="BP293" s="134"/>
      <c r="BQ293" s="47"/>
      <c r="BR293" s="134"/>
      <c r="BS293" s="47"/>
      <c r="BT293" s="134"/>
      <c r="BU293" s="47"/>
      <c r="BV293" s="134"/>
      <c r="BW293" s="47"/>
      <c r="BX293" s="134"/>
      <c r="BY293" s="47"/>
      <c r="BZ293" s="134"/>
      <c r="CA293" s="47"/>
      <c r="CB293" s="127"/>
      <c r="CC293" s="127"/>
      <c r="CD293" s="127"/>
      <c r="CE293" s="127"/>
      <c r="CF293" s="127"/>
      <c r="CG293" s="127"/>
      <c r="CH293" s="127"/>
      <c r="CI293" s="127"/>
      <c r="CJ293" s="127"/>
      <c r="CK293" s="77" t="str">
        <f t="shared" si="161"/>
        <v/>
      </c>
      <c r="CL293" s="37" t="str">
        <f t="shared" si="199"/>
        <v/>
      </c>
      <c r="CM293" s="77" t="str">
        <f t="shared" si="163"/>
        <v/>
      </c>
      <c r="CN293" s="37" t="str">
        <f t="shared" si="186"/>
        <v/>
      </c>
      <c r="CO293" s="77" t="str">
        <f t="shared" si="164"/>
        <v/>
      </c>
      <c r="CP293" s="37" t="str">
        <f t="shared" si="165"/>
        <v/>
      </c>
      <c r="CQ293" s="77" t="str">
        <f t="shared" si="166"/>
        <v/>
      </c>
      <c r="CR293" s="37" t="str">
        <f t="shared" si="200"/>
        <v/>
      </c>
      <c r="CS293" s="77" t="str">
        <f t="shared" si="168"/>
        <v/>
      </c>
      <c r="CT293" s="37" t="str">
        <f t="shared" si="201"/>
        <v/>
      </c>
      <c r="CU293" s="77" t="str">
        <f t="shared" si="170"/>
        <v/>
      </c>
      <c r="CV293" s="37" t="str">
        <f t="shared" si="202"/>
        <v/>
      </c>
      <c r="CW293" s="77" t="str">
        <f t="shared" si="172"/>
        <v/>
      </c>
      <c r="CX293" s="37" t="str">
        <f t="shared" si="203"/>
        <v/>
      </c>
      <c r="DA293" s="77" t="str">
        <f t="shared" si="174"/>
        <v/>
      </c>
      <c r="DB293" s="37" t="str">
        <f t="shared" si="204"/>
        <v/>
      </c>
      <c r="DC293" s="77" t="str">
        <f t="shared" si="174"/>
        <v/>
      </c>
      <c r="DD293" s="37" t="str">
        <f t="shared" si="205"/>
        <v/>
      </c>
      <c r="DE293" s="77" t="str">
        <f t="shared" si="206"/>
        <v/>
      </c>
      <c r="DF293" s="37" t="str">
        <f t="shared" si="207"/>
        <v/>
      </c>
      <c r="DG293" s="77" t="str">
        <f t="shared" si="208"/>
        <v/>
      </c>
      <c r="DH293" s="37" t="str">
        <f t="shared" si="209"/>
        <v/>
      </c>
      <c r="DI293" s="77" t="str">
        <f t="shared" si="210"/>
        <v/>
      </c>
      <c r="DJ293" s="37" t="str">
        <f t="shared" si="211"/>
        <v/>
      </c>
      <c r="DK293" s="77" t="str">
        <f t="shared" si="212"/>
        <v/>
      </c>
      <c r="DL293" s="37" t="str">
        <f t="shared" si="213"/>
        <v/>
      </c>
      <c r="DN293" s="32">
        <v>292</v>
      </c>
      <c r="DO293" s="34" t="s">
        <v>697</v>
      </c>
      <c r="DP293" s="38" t="str">
        <f t="shared" si="214"/>
        <v>Seduce</v>
      </c>
      <c r="DQ293" s="173" t="str">
        <f t="shared" si="192"/>
        <v>(Pers) Seduce</v>
      </c>
      <c r="DR293" s="36">
        <f t="shared" si="193"/>
        <v>292</v>
      </c>
      <c r="DV293" s="176">
        <f t="shared" si="190"/>
        <v>0</v>
      </c>
      <c r="DW293" s="243">
        <f>IF(COUNTIF('Char Sheet p1'!$AP$7:$AP$35,DQ293)=0,0,ROUNDDOWN(SUMIF('Char Sheet p1'!$AP$7:$AP$35,DQ293,'Char Sheet p1'!$AQ$7:$AQ$35)/10,0))</f>
        <v>0</v>
      </c>
      <c r="DX293" s="240">
        <f t="shared" si="194"/>
        <v>0</v>
      </c>
      <c r="DY293" s="36">
        <f t="shared" ref="DY293:DY313" si="216">DY292+1</f>
        <v>6</v>
      </c>
      <c r="DZ293" s="36" t="str">
        <f t="shared" si="191"/>
        <v/>
      </c>
      <c r="EE293" s="36">
        <f t="shared" si="215"/>
        <v>2</v>
      </c>
    </row>
    <row r="294" spans="33:135">
      <c r="AG294" s="61"/>
      <c r="AH294" s="62"/>
      <c r="AI294" s="62"/>
      <c r="AJ294" s="63"/>
      <c r="AK294" s="63"/>
      <c r="AL294" s="63"/>
      <c r="AM294" s="62"/>
      <c r="AN294" s="63">
        <f t="shared" si="187"/>
        <v>59</v>
      </c>
      <c r="AO294" s="64"/>
      <c r="AP294" s="134"/>
      <c r="AQ294" s="47"/>
      <c r="AR294" s="134"/>
      <c r="AS294" s="47"/>
      <c r="AT294" s="134"/>
      <c r="AU294" s="47"/>
      <c r="AV294" s="134"/>
      <c r="AW294" s="47"/>
      <c r="AX294" s="134"/>
      <c r="AY294" s="47"/>
      <c r="AZ294" s="134"/>
      <c r="BA294" s="47"/>
      <c r="BB294" s="134"/>
      <c r="BC294" s="47"/>
      <c r="BD294" s="134"/>
      <c r="BE294" s="47"/>
      <c r="BF294" s="134"/>
      <c r="BG294" s="47"/>
      <c r="BH294" s="134"/>
      <c r="BI294" s="47"/>
      <c r="BJ294" s="134"/>
      <c r="BK294" s="47"/>
      <c r="BL294" s="134"/>
      <c r="BM294" s="47"/>
      <c r="BN294" s="134"/>
      <c r="BO294" s="47"/>
      <c r="BP294" s="134"/>
      <c r="BQ294" s="47"/>
      <c r="BR294" s="134"/>
      <c r="BS294" s="47"/>
      <c r="BT294" s="134"/>
      <c r="BU294" s="47"/>
      <c r="BV294" s="134"/>
      <c r="BW294" s="47"/>
      <c r="BX294" s="134"/>
      <c r="BY294" s="47"/>
      <c r="BZ294" s="134"/>
      <c r="CA294" s="47"/>
      <c r="CB294" s="127"/>
      <c r="CC294" s="127"/>
      <c r="CD294" s="127"/>
      <c r="CE294" s="127"/>
      <c r="CF294" s="127"/>
      <c r="CG294" s="127"/>
      <c r="CH294" s="127"/>
      <c r="CI294" s="127"/>
      <c r="CJ294" s="127"/>
      <c r="CK294" s="77" t="str">
        <f t="shared" si="161"/>
        <v/>
      </c>
      <c r="CL294" s="37" t="str">
        <f t="shared" si="199"/>
        <v/>
      </c>
      <c r="CM294" s="77" t="str">
        <f t="shared" si="163"/>
        <v/>
      </c>
      <c r="CN294" s="37" t="str">
        <f t="shared" si="186"/>
        <v/>
      </c>
      <c r="CO294" s="77" t="str">
        <f t="shared" si="164"/>
        <v/>
      </c>
      <c r="CP294" s="37" t="str">
        <f t="shared" si="165"/>
        <v/>
      </c>
      <c r="CQ294" s="77" t="str">
        <f t="shared" si="166"/>
        <v/>
      </c>
      <c r="CR294" s="37" t="str">
        <f t="shared" si="200"/>
        <v/>
      </c>
      <c r="CS294" s="77" t="str">
        <f t="shared" si="168"/>
        <v/>
      </c>
      <c r="CT294" s="37" t="str">
        <f t="shared" si="201"/>
        <v/>
      </c>
      <c r="CU294" s="77" t="str">
        <f t="shared" si="170"/>
        <v/>
      </c>
      <c r="CV294" s="37" t="str">
        <f t="shared" si="202"/>
        <v/>
      </c>
      <c r="CW294" s="77" t="str">
        <f t="shared" si="172"/>
        <v/>
      </c>
      <c r="CX294" s="37" t="str">
        <f t="shared" si="203"/>
        <v/>
      </c>
      <c r="DA294" s="77" t="str">
        <f t="shared" si="174"/>
        <v/>
      </c>
      <c r="DB294" s="37" t="str">
        <f t="shared" si="204"/>
        <v/>
      </c>
      <c r="DC294" s="77" t="str">
        <f t="shared" si="174"/>
        <v/>
      </c>
      <c r="DD294" s="37" t="str">
        <f t="shared" si="205"/>
        <v/>
      </c>
      <c r="DE294" s="77" t="str">
        <f t="shared" si="206"/>
        <v/>
      </c>
      <c r="DF294" s="37" t="str">
        <f t="shared" si="207"/>
        <v/>
      </c>
      <c r="DG294" s="77" t="str">
        <f t="shared" si="208"/>
        <v/>
      </c>
      <c r="DH294" s="37" t="str">
        <f t="shared" si="209"/>
        <v/>
      </c>
      <c r="DI294" s="77" t="str">
        <f t="shared" si="210"/>
        <v/>
      </c>
      <c r="DJ294" s="37" t="str">
        <f t="shared" si="211"/>
        <v/>
      </c>
      <c r="DK294" s="77" t="str">
        <f t="shared" si="212"/>
        <v/>
      </c>
      <c r="DL294" s="37" t="str">
        <f t="shared" si="213"/>
        <v/>
      </c>
      <c r="DN294" s="32">
        <v>293</v>
      </c>
      <c r="DO294" s="34" t="s">
        <v>697</v>
      </c>
      <c r="DP294" s="38" t="str">
        <f t="shared" si="214"/>
        <v>Taunt</v>
      </c>
      <c r="DQ294" s="173" t="str">
        <f t="shared" si="192"/>
        <v>(Pers) Taunt</v>
      </c>
      <c r="DR294" s="36">
        <f t="shared" si="193"/>
        <v>293</v>
      </c>
      <c r="DV294" s="176">
        <f t="shared" si="190"/>
        <v>0</v>
      </c>
      <c r="DW294" s="243">
        <f>IF(COUNTIF('Char Sheet p1'!$AP$7:$AP$35,DQ294)=0,0,ROUNDDOWN(SUMIF('Char Sheet p1'!$AP$7:$AP$35,DQ294,'Char Sheet p1'!$AQ$7:$AQ$35)/10,0))</f>
        <v>0</v>
      </c>
      <c r="DX294" s="240">
        <f t="shared" si="194"/>
        <v>0</v>
      </c>
      <c r="DY294" s="36">
        <f t="shared" si="216"/>
        <v>7</v>
      </c>
      <c r="DZ294" s="36" t="str">
        <f t="shared" si="191"/>
        <v/>
      </c>
      <c r="EE294" s="36">
        <f t="shared" si="215"/>
        <v>2</v>
      </c>
    </row>
    <row r="295" spans="33:135">
      <c r="AG295" s="61"/>
      <c r="AH295" s="62"/>
      <c r="AI295" s="62"/>
      <c r="AJ295" s="63"/>
      <c r="AK295" s="63"/>
      <c r="AL295" s="63"/>
      <c r="AM295" s="62"/>
      <c r="AN295" s="63">
        <f t="shared" si="187"/>
        <v>60</v>
      </c>
      <c r="AO295" s="64"/>
      <c r="AP295" s="134"/>
      <c r="AQ295" s="47"/>
      <c r="AR295" s="134"/>
      <c r="AS295" s="47"/>
      <c r="AT295" s="134"/>
      <c r="AU295" s="47"/>
      <c r="AV295" s="134"/>
      <c r="AW295" s="47"/>
      <c r="AX295" s="134"/>
      <c r="AY295" s="47"/>
      <c r="AZ295" s="134"/>
      <c r="BA295" s="47"/>
      <c r="BB295" s="134"/>
      <c r="BC295" s="47"/>
      <c r="BD295" s="134"/>
      <c r="BE295" s="47"/>
      <c r="BF295" s="134"/>
      <c r="BG295" s="47"/>
      <c r="BH295" s="134"/>
      <c r="BI295" s="47"/>
      <c r="BJ295" s="134"/>
      <c r="BK295" s="47"/>
      <c r="BL295" s="134"/>
      <c r="BM295" s="47"/>
      <c r="BN295" s="134"/>
      <c r="BO295" s="47"/>
      <c r="BP295" s="134"/>
      <c r="BQ295" s="47"/>
      <c r="BR295" s="134"/>
      <c r="BS295" s="47"/>
      <c r="BT295" s="134"/>
      <c r="BU295" s="47"/>
      <c r="BV295" s="134"/>
      <c r="BW295" s="47"/>
      <c r="BX295" s="134"/>
      <c r="BY295" s="47"/>
      <c r="BZ295" s="134"/>
      <c r="CA295" s="47"/>
      <c r="CB295" s="127"/>
      <c r="CC295" s="127"/>
      <c r="CD295" s="127"/>
      <c r="CE295" s="127"/>
      <c r="CF295" s="127"/>
      <c r="CG295" s="127"/>
      <c r="CH295" s="127"/>
      <c r="CI295" s="127"/>
      <c r="CJ295" s="127"/>
      <c r="CK295" s="77" t="str">
        <f t="shared" si="161"/>
        <v/>
      </c>
      <c r="CL295" s="37" t="str">
        <f t="shared" si="199"/>
        <v/>
      </c>
      <c r="CM295" s="77" t="str">
        <f t="shared" si="163"/>
        <v/>
      </c>
      <c r="CN295" s="37" t="str">
        <f t="shared" si="186"/>
        <v/>
      </c>
      <c r="CO295" s="77" t="str">
        <f t="shared" si="164"/>
        <v/>
      </c>
      <c r="CP295" s="37" t="str">
        <f t="shared" si="165"/>
        <v/>
      </c>
      <c r="CQ295" s="77" t="str">
        <f t="shared" si="166"/>
        <v/>
      </c>
      <c r="CR295" s="37" t="str">
        <f t="shared" si="200"/>
        <v/>
      </c>
      <c r="CS295" s="77" t="str">
        <f t="shared" si="168"/>
        <v/>
      </c>
      <c r="CT295" s="37" t="str">
        <f t="shared" si="201"/>
        <v/>
      </c>
      <c r="CU295" s="77" t="str">
        <f t="shared" si="170"/>
        <v/>
      </c>
      <c r="CV295" s="37" t="str">
        <f t="shared" si="202"/>
        <v/>
      </c>
      <c r="CW295" s="77" t="str">
        <f t="shared" si="172"/>
        <v/>
      </c>
      <c r="CX295" s="37" t="str">
        <f t="shared" si="203"/>
        <v/>
      </c>
      <c r="DA295" s="77" t="str">
        <f t="shared" si="174"/>
        <v/>
      </c>
      <c r="DB295" s="37" t="str">
        <f t="shared" si="204"/>
        <v/>
      </c>
      <c r="DC295" s="77" t="str">
        <f t="shared" si="174"/>
        <v/>
      </c>
      <c r="DD295" s="37" t="str">
        <f t="shared" si="205"/>
        <v/>
      </c>
      <c r="DE295" s="77" t="str">
        <f t="shared" si="206"/>
        <v/>
      </c>
      <c r="DF295" s="37" t="str">
        <f t="shared" si="207"/>
        <v/>
      </c>
      <c r="DG295" s="77" t="str">
        <f t="shared" si="208"/>
        <v/>
      </c>
      <c r="DH295" s="37" t="str">
        <f t="shared" si="209"/>
        <v/>
      </c>
      <c r="DI295" s="77" t="str">
        <f t="shared" si="210"/>
        <v/>
      </c>
      <c r="DJ295" s="37" t="str">
        <f t="shared" si="211"/>
        <v/>
      </c>
      <c r="DK295" s="77" t="str">
        <f t="shared" si="212"/>
        <v/>
      </c>
      <c r="DL295" s="37" t="str">
        <f t="shared" si="213"/>
        <v/>
      </c>
      <c r="DN295" s="32">
        <v>294</v>
      </c>
      <c r="DO295" s="34" t="s">
        <v>697</v>
      </c>
      <c r="DP295" s="38">
        <f t="shared" si="214"/>
        <v>0</v>
      </c>
      <c r="DQ295" s="173" t="str">
        <f t="shared" si="192"/>
        <v>(Pers) 0</v>
      </c>
      <c r="DR295" s="36" t="str">
        <f t="shared" si="193"/>
        <v/>
      </c>
      <c r="DV295" s="176">
        <f t="shared" si="190"/>
        <v>0</v>
      </c>
      <c r="DW295" s="243">
        <f>IF(COUNTIF('Char Sheet p1'!$AP$7:$AP$35,DQ295)=0,0,ROUNDDOWN(SUMIF('Char Sheet p1'!$AP$7:$AP$35,DQ295,'Char Sheet p1'!$AQ$7:$AQ$35)/10,0))</f>
        <v>0</v>
      </c>
      <c r="DX295" s="240">
        <f t="shared" si="194"/>
        <v>0</v>
      </c>
      <c r="DY295" s="36">
        <f t="shared" si="216"/>
        <v>8</v>
      </c>
      <c r="DZ295" s="36" t="str">
        <f t="shared" si="191"/>
        <v/>
      </c>
      <c r="EE295" s="36">
        <f t="shared" si="215"/>
        <v>2</v>
      </c>
    </row>
    <row r="296" spans="33:135">
      <c r="AG296" s="61"/>
      <c r="AH296" s="62"/>
      <c r="AI296" s="62"/>
      <c r="AJ296" s="63"/>
      <c r="AK296" s="63"/>
      <c r="AL296" s="63"/>
      <c r="AM296" s="62"/>
      <c r="AN296" s="63">
        <f t="shared" si="187"/>
        <v>61</v>
      </c>
      <c r="AO296" s="64"/>
      <c r="AP296" s="134"/>
      <c r="AQ296" s="47"/>
      <c r="AR296" s="134"/>
      <c r="AS296" s="47"/>
      <c r="AT296" s="134"/>
      <c r="AU296" s="47"/>
      <c r="AV296" s="134"/>
      <c r="AW296" s="47"/>
      <c r="AX296" s="134"/>
      <c r="AY296" s="47"/>
      <c r="AZ296" s="134"/>
      <c r="BA296" s="47"/>
      <c r="BB296" s="134"/>
      <c r="BC296" s="47"/>
      <c r="BD296" s="134"/>
      <c r="BE296" s="47"/>
      <c r="BF296" s="134"/>
      <c r="BG296" s="47"/>
      <c r="BH296" s="134"/>
      <c r="BI296" s="47"/>
      <c r="BJ296" s="134"/>
      <c r="BK296" s="47"/>
      <c r="BL296" s="134"/>
      <c r="BM296" s="47"/>
      <c r="BN296" s="134"/>
      <c r="BO296" s="47"/>
      <c r="BP296" s="134"/>
      <c r="BQ296" s="47"/>
      <c r="BR296" s="134"/>
      <c r="BS296" s="47"/>
      <c r="BT296" s="134"/>
      <c r="BU296" s="47"/>
      <c r="BV296" s="134"/>
      <c r="BW296" s="47"/>
      <c r="BX296" s="134"/>
      <c r="BY296" s="47"/>
      <c r="BZ296" s="134"/>
      <c r="CA296" s="47"/>
      <c r="CB296" s="127"/>
      <c r="CC296" s="127"/>
      <c r="CD296" s="127"/>
      <c r="CE296" s="127"/>
      <c r="CF296" s="127"/>
      <c r="CG296" s="127"/>
      <c r="CH296" s="127"/>
      <c r="CI296" s="127"/>
      <c r="CJ296" s="127"/>
      <c r="CK296" s="77" t="str">
        <f t="shared" si="161"/>
        <v/>
      </c>
      <c r="CL296" s="37" t="str">
        <f t="shared" si="199"/>
        <v/>
      </c>
      <c r="CM296" s="77" t="str">
        <f t="shared" si="163"/>
        <v/>
      </c>
      <c r="CN296" s="37" t="str">
        <f t="shared" si="186"/>
        <v/>
      </c>
      <c r="CO296" s="77" t="str">
        <f t="shared" si="164"/>
        <v/>
      </c>
      <c r="CP296" s="37" t="str">
        <f t="shared" si="165"/>
        <v/>
      </c>
      <c r="CQ296" s="77" t="str">
        <f t="shared" si="166"/>
        <v/>
      </c>
      <c r="CR296" s="37" t="str">
        <f t="shared" si="200"/>
        <v/>
      </c>
      <c r="CS296" s="77" t="str">
        <f t="shared" si="168"/>
        <v/>
      </c>
      <c r="CT296" s="37" t="str">
        <f t="shared" si="201"/>
        <v/>
      </c>
      <c r="CU296" s="77" t="str">
        <f t="shared" si="170"/>
        <v/>
      </c>
      <c r="CV296" s="37" t="str">
        <f t="shared" si="202"/>
        <v/>
      </c>
      <c r="CW296" s="77" t="str">
        <f t="shared" si="172"/>
        <v/>
      </c>
      <c r="CX296" s="37" t="str">
        <f t="shared" si="203"/>
        <v/>
      </c>
      <c r="DA296" s="77" t="str">
        <f t="shared" si="174"/>
        <v/>
      </c>
      <c r="DB296" s="37" t="str">
        <f t="shared" si="204"/>
        <v/>
      </c>
      <c r="DC296" s="77" t="str">
        <f t="shared" si="174"/>
        <v/>
      </c>
      <c r="DD296" s="37" t="str">
        <f t="shared" si="205"/>
        <v/>
      </c>
      <c r="DE296" s="77" t="str">
        <f t="shared" si="206"/>
        <v/>
      </c>
      <c r="DF296" s="37" t="str">
        <f t="shared" si="207"/>
        <v/>
      </c>
      <c r="DG296" s="77" t="str">
        <f t="shared" si="208"/>
        <v/>
      </c>
      <c r="DH296" s="37" t="str">
        <f t="shared" si="209"/>
        <v/>
      </c>
      <c r="DI296" s="77" t="str">
        <f t="shared" si="210"/>
        <v/>
      </c>
      <c r="DJ296" s="37" t="str">
        <f t="shared" si="211"/>
        <v/>
      </c>
      <c r="DK296" s="77" t="str">
        <f t="shared" si="212"/>
        <v/>
      </c>
      <c r="DL296" s="37" t="str">
        <f t="shared" si="213"/>
        <v/>
      </c>
      <c r="DN296" s="32">
        <v>295</v>
      </c>
      <c r="DO296" s="34" t="s">
        <v>697</v>
      </c>
      <c r="DP296" s="38">
        <f t="shared" si="214"/>
        <v>0</v>
      </c>
      <c r="DQ296" s="173" t="str">
        <f t="shared" si="192"/>
        <v>(Pers) 0</v>
      </c>
      <c r="DR296" s="36" t="str">
        <f t="shared" si="193"/>
        <v/>
      </c>
      <c r="DV296" s="176">
        <f t="shared" si="190"/>
        <v>0</v>
      </c>
      <c r="DW296" s="243">
        <f>IF(COUNTIF('Char Sheet p1'!$AP$7:$AP$35,DQ296)=0,0,ROUNDDOWN(SUMIF('Char Sheet p1'!$AP$7:$AP$35,DQ296,'Char Sheet p1'!$AQ$7:$AQ$35)/10,0))</f>
        <v>0</v>
      </c>
      <c r="DX296" s="240">
        <f t="shared" si="194"/>
        <v>0</v>
      </c>
      <c r="DY296" s="36">
        <f t="shared" si="216"/>
        <v>9</v>
      </c>
      <c r="DZ296" s="36" t="str">
        <f t="shared" si="191"/>
        <v/>
      </c>
      <c r="EE296" s="36">
        <f t="shared" si="215"/>
        <v>2</v>
      </c>
    </row>
    <row r="297" spans="33:135">
      <c r="AG297" s="61"/>
      <c r="AH297" s="62"/>
      <c r="AI297" s="62"/>
      <c r="AJ297" s="63"/>
      <c r="AK297" s="63"/>
      <c r="AL297" s="63"/>
      <c r="AM297" s="62"/>
      <c r="AN297" s="63">
        <f t="shared" si="187"/>
        <v>62</v>
      </c>
      <c r="AO297" s="64"/>
      <c r="AP297" s="134"/>
      <c r="AQ297" s="47"/>
      <c r="AR297" s="134"/>
      <c r="AS297" s="47"/>
      <c r="AT297" s="134"/>
      <c r="AU297" s="47"/>
      <c r="AV297" s="134"/>
      <c r="AW297" s="47"/>
      <c r="AX297" s="134"/>
      <c r="AY297" s="47"/>
      <c r="AZ297" s="134"/>
      <c r="BA297" s="47"/>
      <c r="BB297" s="134"/>
      <c r="BC297" s="47"/>
      <c r="BD297" s="134"/>
      <c r="BE297" s="47"/>
      <c r="BF297" s="134"/>
      <c r="BG297" s="47"/>
      <c r="BH297" s="134"/>
      <c r="BI297" s="47"/>
      <c r="BJ297" s="134"/>
      <c r="BK297" s="47"/>
      <c r="BL297" s="134"/>
      <c r="BM297" s="47"/>
      <c r="BN297" s="134"/>
      <c r="BO297" s="47"/>
      <c r="BP297" s="134"/>
      <c r="BQ297" s="47"/>
      <c r="BR297" s="134"/>
      <c r="BS297" s="47"/>
      <c r="BT297" s="134"/>
      <c r="BU297" s="47"/>
      <c r="BV297" s="134"/>
      <c r="BW297" s="47"/>
      <c r="BX297" s="134"/>
      <c r="BY297" s="47"/>
      <c r="BZ297" s="134"/>
      <c r="CA297" s="47"/>
      <c r="CB297" s="127"/>
      <c r="CC297" s="127"/>
      <c r="CD297" s="127"/>
      <c r="CE297" s="127"/>
      <c r="CF297" s="127"/>
      <c r="CG297" s="127"/>
      <c r="CH297" s="127"/>
      <c r="CI297" s="127"/>
      <c r="CJ297" s="127"/>
      <c r="CK297" s="77" t="str">
        <f t="shared" si="161"/>
        <v/>
      </c>
      <c r="CL297" s="37" t="str">
        <f t="shared" si="199"/>
        <v/>
      </c>
      <c r="CM297" s="77" t="str">
        <f t="shared" si="163"/>
        <v/>
      </c>
      <c r="CN297" s="37" t="str">
        <f t="shared" si="186"/>
        <v/>
      </c>
      <c r="CO297" s="77" t="str">
        <f t="shared" si="164"/>
        <v/>
      </c>
      <c r="CP297" s="37" t="str">
        <f t="shared" si="165"/>
        <v/>
      </c>
      <c r="CQ297" s="77" t="str">
        <f t="shared" si="166"/>
        <v/>
      </c>
      <c r="CR297" s="37" t="str">
        <f t="shared" si="200"/>
        <v/>
      </c>
      <c r="CS297" s="77" t="str">
        <f t="shared" si="168"/>
        <v/>
      </c>
      <c r="CT297" s="37" t="str">
        <f t="shared" si="201"/>
        <v/>
      </c>
      <c r="CU297" s="77" t="str">
        <f t="shared" si="170"/>
        <v/>
      </c>
      <c r="CV297" s="37" t="str">
        <f t="shared" si="202"/>
        <v/>
      </c>
      <c r="CW297" s="77" t="str">
        <f t="shared" si="172"/>
        <v/>
      </c>
      <c r="CX297" s="37" t="str">
        <f t="shared" si="203"/>
        <v/>
      </c>
      <c r="DA297" s="77" t="str">
        <f t="shared" si="174"/>
        <v/>
      </c>
      <c r="DB297" s="37" t="str">
        <f t="shared" si="204"/>
        <v/>
      </c>
      <c r="DC297" s="77" t="str">
        <f t="shared" si="174"/>
        <v/>
      </c>
      <c r="DD297" s="37" t="str">
        <f t="shared" si="205"/>
        <v/>
      </c>
      <c r="DE297" s="77" t="str">
        <f t="shared" si="206"/>
        <v/>
      </c>
      <c r="DF297" s="37" t="str">
        <f t="shared" si="207"/>
        <v/>
      </c>
      <c r="DG297" s="77" t="str">
        <f t="shared" si="208"/>
        <v/>
      </c>
      <c r="DH297" s="37" t="str">
        <f t="shared" si="209"/>
        <v/>
      </c>
      <c r="DI297" s="77" t="str">
        <f t="shared" si="210"/>
        <v/>
      </c>
      <c r="DJ297" s="37" t="str">
        <f t="shared" si="211"/>
        <v/>
      </c>
      <c r="DK297" s="77" t="str">
        <f t="shared" si="212"/>
        <v/>
      </c>
      <c r="DL297" s="37" t="str">
        <f t="shared" si="213"/>
        <v/>
      </c>
      <c r="DN297" s="32">
        <v>296</v>
      </c>
      <c r="DO297" s="34" t="s">
        <v>697</v>
      </c>
      <c r="DP297" s="38">
        <f t="shared" si="214"/>
        <v>0</v>
      </c>
      <c r="DQ297" s="173" t="str">
        <f t="shared" si="192"/>
        <v>(Pers) 0</v>
      </c>
      <c r="DR297" s="36" t="str">
        <f t="shared" si="193"/>
        <v/>
      </c>
      <c r="DV297" s="176">
        <f t="shared" si="190"/>
        <v>0</v>
      </c>
      <c r="DW297" s="243">
        <f>IF(COUNTIF('Char Sheet p1'!$AP$7:$AP$35,DQ297)=0,0,ROUNDDOWN(SUMIF('Char Sheet p1'!$AP$7:$AP$35,DQ297,'Char Sheet p1'!$AQ$7:$AQ$35)/10,0))</f>
        <v>0</v>
      </c>
      <c r="DX297" s="240">
        <f t="shared" si="194"/>
        <v>0</v>
      </c>
      <c r="DY297" s="36">
        <f t="shared" si="216"/>
        <v>10</v>
      </c>
      <c r="DZ297" s="36" t="str">
        <f t="shared" si="191"/>
        <v/>
      </c>
      <c r="EE297" s="36">
        <f t="shared" si="215"/>
        <v>2</v>
      </c>
    </row>
    <row r="298" spans="33:135">
      <c r="AG298" s="61"/>
      <c r="AH298" s="62"/>
      <c r="AI298" s="62"/>
      <c r="AJ298" s="63"/>
      <c r="AK298" s="63"/>
      <c r="AL298" s="63"/>
      <c r="AM298" s="62"/>
      <c r="AN298" s="63">
        <f t="shared" si="187"/>
        <v>63</v>
      </c>
      <c r="AO298" s="64"/>
      <c r="AP298" s="134"/>
      <c r="AQ298" s="47"/>
      <c r="AR298" s="134"/>
      <c r="AS298" s="47"/>
      <c r="AT298" s="134"/>
      <c r="AU298" s="47"/>
      <c r="AV298" s="134"/>
      <c r="AW298" s="47"/>
      <c r="AX298" s="134"/>
      <c r="AY298" s="47"/>
      <c r="AZ298" s="134"/>
      <c r="BA298" s="47"/>
      <c r="BB298" s="134"/>
      <c r="BC298" s="47"/>
      <c r="BD298" s="134"/>
      <c r="BE298" s="47"/>
      <c r="BF298" s="134"/>
      <c r="BG298" s="47"/>
      <c r="BH298" s="134"/>
      <c r="BI298" s="47"/>
      <c r="BJ298" s="134"/>
      <c r="BK298" s="47"/>
      <c r="BL298" s="134"/>
      <c r="BM298" s="47"/>
      <c r="BN298" s="134"/>
      <c r="BO298" s="47"/>
      <c r="BP298" s="134"/>
      <c r="BQ298" s="47"/>
      <c r="BR298" s="134"/>
      <c r="BS298" s="47"/>
      <c r="BT298" s="134"/>
      <c r="BU298" s="47"/>
      <c r="BV298" s="134"/>
      <c r="BW298" s="47"/>
      <c r="BX298" s="134"/>
      <c r="BY298" s="47"/>
      <c r="BZ298" s="134"/>
      <c r="CA298" s="47"/>
      <c r="CB298" s="127"/>
      <c r="CC298" s="127"/>
      <c r="CD298" s="127"/>
      <c r="CE298" s="127"/>
      <c r="CF298" s="127"/>
      <c r="CG298" s="127"/>
      <c r="CH298" s="127"/>
      <c r="CI298" s="127"/>
      <c r="CJ298" s="127"/>
      <c r="CK298" s="77" t="str">
        <f t="shared" si="161"/>
        <v/>
      </c>
      <c r="CL298" s="37" t="str">
        <f t="shared" si="199"/>
        <v/>
      </c>
      <c r="CM298" s="77" t="str">
        <f t="shared" si="163"/>
        <v/>
      </c>
      <c r="CN298" s="37" t="str">
        <f t="shared" si="186"/>
        <v/>
      </c>
      <c r="CO298" s="77" t="str">
        <f t="shared" si="164"/>
        <v/>
      </c>
      <c r="CP298" s="37" t="str">
        <f t="shared" si="165"/>
        <v/>
      </c>
      <c r="CQ298" s="77" t="str">
        <f t="shared" si="166"/>
        <v/>
      </c>
      <c r="CR298" s="37" t="str">
        <f t="shared" si="200"/>
        <v/>
      </c>
      <c r="CS298" s="77" t="str">
        <f t="shared" si="168"/>
        <v/>
      </c>
      <c r="CT298" s="37" t="str">
        <f t="shared" si="201"/>
        <v/>
      </c>
      <c r="CU298" s="77" t="str">
        <f t="shared" si="170"/>
        <v/>
      </c>
      <c r="CV298" s="37" t="str">
        <f t="shared" si="202"/>
        <v/>
      </c>
      <c r="CW298" s="77" t="str">
        <f t="shared" si="172"/>
        <v/>
      </c>
      <c r="CX298" s="37" t="str">
        <f t="shared" si="203"/>
        <v/>
      </c>
      <c r="DA298" s="77" t="str">
        <f t="shared" si="174"/>
        <v/>
      </c>
      <c r="DB298" s="37" t="str">
        <f t="shared" si="204"/>
        <v/>
      </c>
      <c r="DC298" s="77" t="str">
        <f t="shared" si="174"/>
        <v/>
      </c>
      <c r="DD298" s="37" t="str">
        <f t="shared" si="205"/>
        <v/>
      </c>
      <c r="DE298" s="77" t="str">
        <f t="shared" si="206"/>
        <v/>
      </c>
      <c r="DF298" s="37" t="str">
        <f t="shared" si="207"/>
        <v/>
      </c>
      <c r="DG298" s="77" t="str">
        <f t="shared" si="208"/>
        <v/>
      </c>
      <c r="DH298" s="37" t="str">
        <f t="shared" si="209"/>
        <v/>
      </c>
      <c r="DI298" s="77" t="str">
        <f t="shared" si="210"/>
        <v/>
      </c>
      <c r="DJ298" s="37" t="str">
        <f t="shared" si="211"/>
        <v/>
      </c>
      <c r="DK298" s="77" t="str">
        <f t="shared" si="212"/>
        <v/>
      </c>
      <c r="DL298" s="37" t="str">
        <f t="shared" si="213"/>
        <v/>
      </c>
      <c r="DN298" s="32">
        <v>297</v>
      </c>
      <c r="DO298" s="34" t="s">
        <v>697</v>
      </c>
      <c r="DP298" s="38">
        <f t="shared" si="214"/>
        <v>0</v>
      </c>
      <c r="DQ298" s="173" t="str">
        <f t="shared" si="192"/>
        <v>(Pers) 0</v>
      </c>
      <c r="DR298" s="36" t="str">
        <f t="shared" si="193"/>
        <v/>
      </c>
      <c r="DV298" s="176">
        <f t="shared" si="190"/>
        <v>0</v>
      </c>
      <c r="DW298" s="243">
        <f>IF(COUNTIF('Char Sheet p1'!$AP$7:$AP$35,DQ298)=0,0,ROUNDDOWN(SUMIF('Char Sheet p1'!$AP$7:$AP$35,DQ298,'Char Sheet p1'!$AQ$7:$AQ$35)/10,0))</f>
        <v>0</v>
      </c>
      <c r="DX298" s="240">
        <f t="shared" si="194"/>
        <v>0</v>
      </c>
      <c r="DY298" s="36">
        <f t="shared" si="216"/>
        <v>11</v>
      </c>
      <c r="DZ298" s="36" t="str">
        <f t="shared" si="191"/>
        <v/>
      </c>
      <c r="EE298" s="36">
        <f t="shared" si="215"/>
        <v>2</v>
      </c>
    </row>
    <row r="299" spans="33:135">
      <c r="AG299" s="61"/>
      <c r="AH299" s="62"/>
      <c r="AI299" s="62"/>
      <c r="AJ299" s="63"/>
      <c r="AK299" s="63"/>
      <c r="AL299" s="63"/>
      <c r="AM299" s="62"/>
      <c r="AN299" s="63">
        <f t="shared" si="187"/>
        <v>64</v>
      </c>
      <c r="AO299" s="64"/>
      <c r="AP299" s="134"/>
      <c r="AQ299" s="47"/>
      <c r="AR299" s="134"/>
      <c r="AS299" s="47"/>
      <c r="AT299" s="134"/>
      <c r="AU299" s="47"/>
      <c r="AV299" s="134"/>
      <c r="AW299" s="47"/>
      <c r="AX299" s="134"/>
      <c r="AY299" s="47"/>
      <c r="AZ299" s="134"/>
      <c r="BA299" s="47"/>
      <c r="BB299" s="134"/>
      <c r="BC299" s="47"/>
      <c r="BD299" s="134"/>
      <c r="BE299" s="47"/>
      <c r="BF299" s="134"/>
      <c r="BG299" s="47"/>
      <c r="BH299" s="134"/>
      <c r="BI299" s="47"/>
      <c r="BJ299" s="134"/>
      <c r="BK299" s="47"/>
      <c r="BL299" s="134"/>
      <c r="BM299" s="47"/>
      <c r="BN299" s="134"/>
      <c r="BO299" s="47"/>
      <c r="BP299" s="134"/>
      <c r="BQ299" s="47"/>
      <c r="BR299" s="134"/>
      <c r="BS299" s="47"/>
      <c r="BT299" s="134"/>
      <c r="BU299" s="47"/>
      <c r="BV299" s="134"/>
      <c r="BW299" s="47"/>
      <c r="BX299" s="134"/>
      <c r="BY299" s="47"/>
      <c r="BZ299" s="134"/>
      <c r="CA299" s="47"/>
      <c r="CB299" s="127"/>
      <c r="CC299" s="127"/>
      <c r="CD299" s="127"/>
      <c r="CE299" s="127"/>
      <c r="CF299" s="127"/>
      <c r="CG299" s="127"/>
      <c r="CH299" s="127"/>
      <c r="CI299" s="127"/>
      <c r="CJ299" s="127"/>
      <c r="CK299" s="77" t="str">
        <f t="shared" si="161"/>
        <v/>
      </c>
      <c r="CL299" s="37" t="str">
        <f t="shared" si="199"/>
        <v/>
      </c>
      <c r="CM299" s="77" t="str">
        <f t="shared" si="163"/>
        <v/>
      </c>
      <c r="CN299" s="37" t="str">
        <f t="shared" si="186"/>
        <v/>
      </c>
      <c r="CO299" s="77" t="str">
        <f t="shared" si="164"/>
        <v/>
      </c>
      <c r="CP299" s="37" t="str">
        <f t="shared" si="165"/>
        <v/>
      </c>
      <c r="CQ299" s="77" t="str">
        <f t="shared" si="166"/>
        <v/>
      </c>
      <c r="CR299" s="37" t="str">
        <f t="shared" si="200"/>
        <v/>
      </c>
      <c r="CS299" s="77" t="str">
        <f t="shared" si="168"/>
        <v/>
      </c>
      <c r="CT299" s="37" t="str">
        <f t="shared" si="201"/>
        <v/>
      </c>
      <c r="CU299" s="77" t="str">
        <f t="shared" si="170"/>
        <v/>
      </c>
      <c r="CV299" s="37" t="str">
        <f t="shared" si="202"/>
        <v/>
      </c>
      <c r="CW299" s="77" t="str">
        <f t="shared" si="172"/>
        <v/>
      </c>
      <c r="CX299" s="37" t="str">
        <f t="shared" si="203"/>
        <v/>
      </c>
      <c r="DA299" s="77" t="str">
        <f t="shared" si="174"/>
        <v/>
      </c>
      <c r="DB299" s="37" t="str">
        <f t="shared" si="204"/>
        <v/>
      </c>
      <c r="DC299" s="77" t="str">
        <f t="shared" si="174"/>
        <v/>
      </c>
      <c r="DD299" s="37" t="str">
        <f t="shared" si="205"/>
        <v/>
      </c>
      <c r="DE299" s="77" t="str">
        <f t="shared" si="206"/>
        <v/>
      </c>
      <c r="DF299" s="37" t="str">
        <f t="shared" si="207"/>
        <v/>
      </c>
      <c r="DG299" s="77" t="str">
        <f t="shared" si="208"/>
        <v/>
      </c>
      <c r="DH299" s="37" t="str">
        <f t="shared" si="209"/>
        <v/>
      </c>
      <c r="DI299" s="77" t="str">
        <f t="shared" si="210"/>
        <v/>
      </c>
      <c r="DJ299" s="37" t="str">
        <f t="shared" si="211"/>
        <v/>
      </c>
      <c r="DK299" s="77" t="str">
        <f t="shared" si="212"/>
        <v/>
      </c>
      <c r="DL299" s="37" t="str">
        <f t="shared" si="213"/>
        <v/>
      </c>
      <c r="DN299" s="32">
        <v>298</v>
      </c>
      <c r="DO299" s="34" t="s">
        <v>697</v>
      </c>
      <c r="DP299" s="38">
        <f t="shared" si="214"/>
        <v>0</v>
      </c>
      <c r="DQ299" s="173" t="str">
        <f t="shared" si="192"/>
        <v>(Pers) 0</v>
      </c>
      <c r="DR299" s="36" t="str">
        <f t="shared" si="193"/>
        <v/>
      </c>
      <c r="DV299" s="176">
        <f t="shared" si="190"/>
        <v>0</v>
      </c>
      <c r="DW299" s="243">
        <f>IF(COUNTIF('Char Sheet p1'!$AP$7:$AP$35,DQ299)=0,0,ROUNDDOWN(SUMIF('Char Sheet p1'!$AP$7:$AP$35,DQ299,'Char Sheet p1'!$AQ$7:$AQ$35)/10,0))</f>
        <v>0</v>
      </c>
      <c r="DX299" s="240">
        <f t="shared" si="194"/>
        <v>0</v>
      </c>
      <c r="DY299" s="36">
        <f t="shared" si="216"/>
        <v>12</v>
      </c>
      <c r="DZ299" s="36" t="str">
        <f t="shared" si="191"/>
        <v/>
      </c>
      <c r="EE299" s="36">
        <f t="shared" si="215"/>
        <v>2</v>
      </c>
    </row>
    <row r="300" spans="33:135">
      <c r="AG300" s="61"/>
      <c r="AH300" s="62"/>
      <c r="AI300" s="62"/>
      <c r="AJ300" s="63"/>
      <c r="AK300" s="63"/>
      <c r="AL300" s="63"/>
      <c r="AM300" s="62"/>
      <c r="AN300" s="63">
        <f t="shared" si="187"/>
        <v>65</v>
      </c>
      <c r="AO300" s="64"/>
      <c r="AP300" s="134"/>
      <c r="AQ300" s="47"/>
      <c r="AR300" s="134"/>
      <c r="AS300" s="47"/>
      <c r="AT300" s="134"/>
      <c r="AU300" s="47"/>
      <c r="AV300" s="134"/>
      <c r="AW300" s="47"/>
      <c r="AX300" s="134"/>
      <c r="AY300" s="47"/>
      <c r="AZ300" s="134"/>
      <c r="BA300" s="47"/>
      <c r="BB300" s="134"/>
      <c r="BC300" s="47"/>
      <c r="BD300" s="134"/>
      <c r="BE300" s="47"/>
      <c r="BF300" s="134"/>
      <c r="BG300" s="47"/>
      <c r="BH300" s="134"/>
      <c r="BI300" s="47"/>
      <c r="BJ300" s="134"/>
      <c r="BK300" s="47"/>
      <c r="BL300" s="134"/>
      <c r="BM300" s="47"/>
      <c r="BN300" s="134"/>
      <c r="BO300" s="47"/>
      <c r="BP300" s="134"/>
      <c r="BQ300" s="47"/>
      <c r="BR300" s="134"/>
      <c r="BS300" s="47"/>
      <c r="BT300" s="134"/>
      <c r="BU300" s="47"/>
      <c r="BV300" s="134"/>
      <c r="BW300" s="47"/>
      <c r="BX300" s="134"/>
      <c r="BY300" s="47"/>
      <c r="BZ300" s="134"/>
      <c r="CA300" s="47"/>
      <c r="CB300" s="127"/>
      <c r="CC300" s="127"/>
      <c r="CD300" s="127"/>
      <c r="CE300" s="127"/>
      <c r="CF300" s="127"/>
      <c r="CG300" s="127"/>
      <c r="CH300" s="127"/>
      <c r="CI300" s="127"/>
      <c r="CJ300" s="127"/>
      <c r="CK300" s="77" t="str">
        <f t="shared" ref="CK300:CK317" si="217">IF(OR($AM300=0,AND(COUNTIF(CL$319:CL$325,$AG300)&gt;0,$AJ300&lt;&gt;"y")),"",$AN300)</f>
        <v/>
      </c>
      <c r="CL300" s="37" t="str">
        <f t="shared" ref="CL300:CL318" si="218">IF(AN300&gt;$CL$235,"",INDEX($AG$236:$AG$318,SMALL($CK$236:$CK$318,AN300),1))</f>
        <v/>
      </c>
      <c r="CM300" s="77" t="str">
        <f t="shared" ref="CM300:CM317" si="219">IF(OR($AM300=0,AND(COUNTIF(CN$319:CN$325,$AG300)&gt;0,$AJ300&lt;&gt;"y")),"",$AN300)</f>
        <v/>
      </c>
      <c r="CN300" s="37" t="str">
        <f t="shared" si="186"/>
        <v/>
      </c>
      <c r="CO300" s="77" t="str">
        <f t="shared" ref="CO300:CO317" si="220">IF(OR($AM300=0,AND(COUNTIF(CP$319:CP$325,$AG300)&gt;0,$AJ300&lt;&gt;"y")),"",$AN300)</f>
        <v/>
      </c>
      <c r="CP300" s="37" t="str">
        <f t="shared" ref="CP300:CP318" si="221">IF($AN300&gt;CP$235,"",INDEX($AG$236:$AG$318,SMALL(CO$236:CO$318,$AN300),1))</f>
        <v/>
      </c>
      <c r="CQ300" s="77" t="str">
        <f t="shared" ref="CQ300:CQ317" si="222">IF(OR($AM300=0,AND(COUNTIF(CR$319:CR$325,$AG300)&gt;0,$AJ300&lt;&gt;"y")),"",$AN300)</f>
        <v/>
      </c>
      <c r="CR300" s="37" t="str">
        <f t="shared" ref="CR300:CR318" si="223">IF($AN300&gt;CR$235,"",INDEX($AG$236:$AG$318,SMALL(CQ$236:CQ$318,$AN300),1))</f>
        <v/>
      </c>
      <c r="CS300" s="77" t="str">
        <f t="shared" ref="CS300:CS317" si="224">IF(OR($AM300=0,AND(COUNTIF(CT$319:CT$325,$AG300)&gt;0,$AJ300&lt;&gt;"y")),"",$AN300)</f>
        <v/>
      </c>
      <c r="CT300" s="37" t="str">
        <f t="shared" ref="CT300:CT318" si="225">IF($AN300&gt;CT$235,"",INDEX($AG$236:$AG$318,SMALL(CS$236:CS$318,$AN300),1))</f>
        <v/>
      </c>
      <c r="CU300" s="77" t="str">
        <f t="shared" ref="CU300:CU317" si="226">IF(OR($AM300=0,AND(COUNTIF(CV$319:CV$325,$AG300)&gt;0,$AJ300&lt;&gt;"y")),"",$AN300)</f>
        <v/>
      </c>
      <c r="CV300" s="37" t="str">
        <f t="shared" ref="CV300:CV318" si="227">IF($AN300&gt;CV$235,"",INDEX($AG$236:$AG$318,SMALL(CU$236:CU$318,$AN300),1))</f>
        <v/>
      </c>
      <c r="CW300" s="77" t="str">
        <f t="shared" ref="CW300:CW317" si="228">IF(OR($AM300=0,AND(COUNTIF(CX$319:CX$325,$AG300)&gt;0,$AJ300&lt;&gt;"y")),"",$AN300)</f>
        <v/>
      </c>
      <c r="CX300" s="37" t="str">
        <f t="shared" ref="CX300:CX318" si="229">IF($AN300&gt;CX$235,"",INDEX($AG$236:$AG$318,SMALL(CW$236:CW$318,$AN300),1))</f>
        <v/>
      </c>
      <c r="DA300" s="77" t="str">
        <f t="shared" ref="DA300:DC317" si="230">IF(OR($AM300=0,AND(COUNTIF(DB$319:DB$331,$AG300)&gt;0,$AJ300&lt;&gt;"y")),"",$AN300)</f>
        <v/>
      </c>
      <c r="DB300" s="37" t="str">
        <f t="shared" ref="DB300:DB318" si="231">IF($AN300&gt;DB$235,"",INDEX($AG$236:$AG$318,SMALL(DA$236:DA$318,$AN300),1))</f>
        <v/>
      </c>
      <c r="DC300" s="77" t="str">
        <f t="shared" si="230"/>
        <v/>
      </c>
      <c r="DD300" s="37" t="str">
        <f t="shared" ref="DD300:DD318" si="232">IF($AN300&gt;DD$235,"",INDEX($AG$236:$AG$318,SMALL(DC$236:DC$318,$AN300),1))</f>
        <v/>
      </c>
      <c r="DE300" s="77" t="str">
        <f t="shared" ref="DE300:DE318" si="233">IF(OR($AM300=0,AND(COUNTIF(DF$319:DF$331,$AG300)&gt;0,$AJ300&lt;&gt;"y")),"",$AN300)</f>
        <v/>
      </c>
      <c r="DF300" s="37" t="str">
        <f t="shared" ref="DF300:DF318" si="234">IF($AN300&gt;DF$235,"",INDEX($AG$236:$AG$318,SMALL(DE$236:DE$318,$AN300),1))</f>
        <v/>
      </c>
      <c r="DG300" s="77" t="str">
        <f t="shared" ref="DG300:DG318" si="235">IF(OR($AM300=0,AND(COUNTIF(DH$319:DH$331,$AG300)&gt;0,$AJ300&lt;&gt;"y")),"",$AN300)</f>
        <v/>
      </c>
      <c r="DH300" s="37" t="str">
        <f t="shared" ref="DH300:DH318" si="236">IF($AN300&gt;DH$235,"",INDEX($AG$236:$AG$318,SMALL(DG$236:DG$318,$AN300),1))</f>
        <v/>
      </c>
      <c r="DI300" s="77" t="str">
        <f t="shared" ref="DI300:DI318" si="237">IF(OR($AM300=0,AND(COUNTIF(DJ$319:DJ$331,$AG300)&gt;0,$AJ300&lt;&gt;"y")),"",$AN300)</f>
        <v/>
      </c>
      <c r="DJ300" s="37" t="str">
        <f t="shared" ref="DJ300:DJ318" si="238">IF($AN300&gt;DJ$235,"",INDEX($AG$236:$AG$318,SMALL(DI$236:DI$318,$AN300),1))</f>
        <v/>
      </c>
      <c r="DK300" s="77" t="str">
        <f t="shared" ref="DK300:DK318" si="239">IF(OR($AM300=0,AND(COUNTIF(DL$319:DL$331,$AG300)&gt;0,$AJ300&lt;&gt;"y")),"",$AN300)</f>
        <v/>
      </c>
      <c r="DL300" s="37" t="str">
        <f t="shared" ref="DL300:DL318" si="240">IF($AN300&gt;DL$235,"",INDEX($AG$236:$AG$318,SMALL(DK$236:DK$318,$AN300),1))</f>
        <v/>
      </c>
      <c r="DN300" s="32">
        <v>299</v>
      </c>
      <c r="DO300" s="34" t="s">
        <v>697</v>
      </c>
      <c r="DP300" s="38">
        <f t="shared" si="214"/>
        <v>0</v>
      </c>
      <c r="DQ300" s="173" t="str">
        <f t="shared" si="192"/>
        <v>(Pers) 0</v>
      </c>
      <c r="DR300" s="36" t="str">
        <f t="shared" si="193"/>
        <v/>
      </c>
      <c r="DV300" s="176">
        <f t="shared" si="190"/>
        <v>0</v>
      </c>
      <c r="DW300" s="243">
        <f>IF(COUNTIF('Char Sheet p1'!$AP$7:$AP$35,DQ300)=0,0,ROUNDDOWN(SUMIF('Char Sheet p1'!$AP$7:$AP$35,DQ300,'Char Sheet p1'!$AQ$7:$AQ$35)/10,0))</f>
        <v>0</v>
      </c>
      <c r="DX300" s="240">
        <f t="shared" si="194"/>
        <v>0</v>
      </c>
      <c r="DY300" s="36">
        <f t="shared" si="216"/>
        <v>13</v>
      </c>
      <c r="DZ300" s="36" t="str">
        <f t="shared" si="191"/>
        <v/>
      </c>
      <c r="EE300" s="36">
        <f t="shared" si="215"/>
        <v>2</v>
      </c>
    </row>
    <row r="301" spans="33:135">
      <c r="AG301" s="61"/>
      <c r="AH301" s="62"/>
      <c r="AI301" s="62"/>
      <c r="AJ301" s="63"/>
      <c r="AK301" s="63"/>
      <c r="AL301" s="63"/>
      <c r="AM301" s="62"/>
      <c r="AN301" s="63">
        <f t="shared" si="187"/>
        <v>66</v>
      </c>
      <c r="AO301" s="64"/>
      <c r="AP301" s="134"/>
      <c r="AQ301" s="47"/>
      <c r="AR301" s="134"/>
      <c r="AS301" s="47"/>
      <c r="AT301" s="134"/>
      <c r="AU301" s="47"/>
      <c r="AV301" s="134"/>
      <c r="AW301" s="47"/>
      <c r="AX301" s="134"/>
      <c r="AY301" s="47"/>
      <c r="AZ301" s="134"/>
      <c r="BA301" s="47"/>
      <c r="BB301" s="134"/>
      <c r="BC301" s="47"/>
      <c r="BD301" s="134"/>
      <c r="BE301" s="47"/>
      <c r="BF301" s="134"/>
      <c r="BG301" s="47"/>
      <c r="BH301" s="134"/>
      <c r="BI301" s="47"/>
      <c r="BJ301" s="134"/>
      <c r="BK301" s="47"/>
      <c r="BL301" s="134"/>
      <c r="BM301" s="47"/>
      <c r="BN301" s="134"/>
      <c r="BO301" s="47"/>
      <c r="BP301" s="134"/>
      <c r="BQ301" s="47"/>
      <c r="BR301" s="134"/>
      <c r="BS301" s="47"/>
      <c r="BT301" s="134"/>
      <c r="BU301" s="47"/>
      <c r="BV301" s="134"/>
      <c r="BW301" s="47"/>
      <c r="BX301" s="134"/>
      <c r="BY301" s="47"/>
      <c r="BZ301" s="134"/>
      <c r="CA301" s="47"/>
      <c r="CB301" s="127"/>
      <c r="CC301" s="127"/>
      <c r="CD301" s="127"/>
      <c r="CE301" s="127"/>
      <c r="CF301" s="127"/>
      <c r="CG301" s="127"/>
      <c r="CH301" s="127"/>
      <c r="CI301" s="127"/>
      <c r="CJ301" s="127"/>
      <c r="CK301" s="77" t="str">
        <f t="shared" si="217"/>
        <v/>
      </c>
      <c r="CL301" s="37" t="str">
        <f t="shared" si="218"/>
        <v/>
      </c>
      <c r="CM301" s="77" t="str">
        <f t="shared" si="219"/>
        <v/>
      </c>
      <c r="CN301" s="37" t="str">
        <f t="shared" ref="CN301:CN318" si="241">IF($AN301&gt;CN$235,"",INDEX($AG$236:$AG$318,SMALL(CM$236:CM$318,$AN301),1))</f>
        <v/>
      </c>
      <c r="CO301" s="77" t="str">
        <f t="shared" si="220"/>
        <v/>
      </c>
      <c r="CP301" s="37" t="str">
        <f t="shared" si="221"/>
        <v/>
      </c>
      <c r="CQ301" s="77" t="str">
        <f t="shared" si="222"/>
        <v/>
      </c>
      <c r="CR301" s="37" t="str">
        <f t="shared" si="223"/>
        <v/>
      </c>
      <c r="CS301" s="77" t="str">
        <f t="shared" si="224"/>
        <v/>
      </c>
      <c r="CT301" s="37" t="str">
        <f t="shared" si="225"/>
        <v/>
      </c>
      <c r="CU301" s="77" t="str">
        <f t="shared" si="226"/>
        <v/>
      </c>
      <c r="CV301" s="37" t="str">
        <f t="shared" si="227"/>
        <v/>
      </c>
      <c r="CW301" s="77" t="str">
        <f t="shared" si="228"/>
        <v/>
      </c>
      <c r="CX301" s="37" t="str">
        <f t="shared" si="229"/>
        <v/>
      </c>
      <c r="DA301" s="77" t="str">
        <f t="shared" si="230"/>
        <v/>
      </c>
      <c r="DB301" s="37" t="str">
        <f t="shared" si="231"/>
        <v/>
      </c>
      <c r="DC301" s="77" t="str">
        <f t="shared" si="230"/>
        <v/>
      </c>
      <c r="DD301" s="37" t="str">
        <f t="shared" si="232"/>
        <v/>
      </c>
      <c r="DE301" s="77" t="str">
        <f t="shared" si="233"/>
        <v/>
      </c>
      <c r="DF301" s="37" t="str">
        <f t="shared" si="234"/>
        <v/>
      </c>
      <c r="DG301" s="77" t="str">
        <f t="shared" si="235"/>
        <v/>
      </c>
      <c r="DH301" s="37" t="str">
        <f t="shared" si="236"/>
        <v/>
      </c>
      <c r="DI301" s="77" t="str">
        <f t="shared" si="237"/>
        <v/>
      </c>
      <c r="DJ301" s="37" t="str">
        <f t="shared" si="238"/>
        <v/>
      </c>
      <c r="DK301" s="77" t="str">
        <f t="shared" si="239"/>
        <v/>
      </c>
      <c r="DL301" s="37" t="str">
        <f t="shared" si="240"/>
        <v/>
      </c>
      <c r="DN301" s="32">
        <v>300</v>
      </c>
      <c r="DO301" s="34" t="s">
        <v>697</v>
      </c>
      <c r="DP301" s="38">
        <f t="shared" si="214"/>
        <v>0</v>
      </c>
      <c r="DQ301" s="173" t="str">
        <f t="shared" si="192"/>
        <v>(Pers) 0</v>
      </c>
      <c r="DR301" s="36" t="str">
        <f t="shared" si="193"/>
        <v/>
      </c>
      <c r="DV301" s="176">
        <f t="shared" si="190"/>
        <v>0</v>
      </c>
      <c r="DW301" s="243">
        <f>IF(COUNTIF('Char Sheet p1'!$AP$7:$AP$35,DQ301)=0,0,ROUNDDOWN(SUMIF('Char Sheet p1'!$AP$7:$AP$35,DQ301,'Char Sheet p1'!$AQ$7:$AQ$35)/10,0))</f>
        <v>0</v>
      </c>
      <c r="DX301" s="240">
        <f t="shared" si="194"/>
        <v>0</v>
      </c>
      <c r="DY301" s="36">
        <f t="shared" si="216"/>
        <v>14</v>
      </c>
      <c r="DZ301" s="36" t="str">
        <f t="shared" si="191"/>
        <v/>
      </c>
      <c r="EE301" s="36">
        <f t="shared" si="215"/>
        <v>2</v>
      </c>
    </row>
    <row r="302" spans="33:135">
      <c r="AG302" s="61"/>
      <c r="AH302" s="62"/>
      <c r="AI302" s="62"/>
      <c r="AJ302" s="63"/>
      <c r="AK302" s="63"/>
      <c r="AL302" s="63"/>
      <c r="AM302" s="62"/>
      <c r="AN302" s="63">
        <f t="shared" ref="AN302:AN318" si="242">AN301+1</f>
        <v>67</v>
      </c>
      <c r="AO302" s="64"/>
      <c r="AP302" s="134"/>
      <c r="AQ302" s="47"/>
      <c r="AR302" s="134"/>
      <c r="AS302" s="47"/>
      <c r="AT302" s="134"/>
      <c r="AU302" s="47"/>
      <c r="AV302" s="134"/>
      <c r="AW302" s="47"/>
      <c r="AX302" s="134"/>
      <c r="AY302" s="47"/>
      <c r="AZ302" s="134"/>
      <c r="BA302" s="47"/>
      <c r="BB302" s="134"/>
      <c r="BC302" s="47"/>
      <c r="BD302" s="134"/>
      <c r="BE302" s="47"/>
      <c r="BF302" s="134"/>
      <c r="BG302" s="47"/>
      <c r="BH302" s="134"/>
      <c r="BI302" s="47"/>
      <c r="BJ302" s="134"/>
      <c r="BK302" s="47"/>
      <c r="BL302" s="134"/>
      <c r="BM302" s="47"/>
      <c r="BN302" s="134"/>
      <c r="BO302" s="47"/>
      <c r="BP302" s="134"/>
      <c r="BQ302" s="47"/>
      <c r="BR302" s="134"/>
      <c r="BS302" s="47"/>
      <c r="BT302" s="134"/>
      <c r="BU302" s="47"/>
      <c r="BV302" s="134"/>
      <c r="BW302" s="47"/>
      <c r="BX302" s="134"/>
      <c r="BY302" s="47"/>
      <c r="BZ302" s="134"/>
      <c r="CA302" s="47"/>
      <c r="CB302" s="127"/>
      <c r="CC302" s="127"/>
      <c r="CD302" s="127"/>
      <c r="CE302" s="127"/>
      <c r="CF302" s="127"/>
      <c r="CG302" s="127"/>
      <c r="CH302" s="127"/>
      <c r="CI302" s="127"/>
      <c r="CJ302" s="127"/>
      <c r="CK302" s="77" t="str">
        <f t="shared" si="217"/>
        <v/>
      </c>
      <c r="CL302" s="37" t="str">
        <f t="shared" si="218"/>
        <v/>
      </c>
      <c r="CM302" s="77" t="str">
        <f t="shared" si="219"/>
        <v/>
      </c>
      <c r="CN302" s="37" t="str">
        <f t="shared" si="241"/>
        <v/>
      </c>
      <c r="CO302" s="77" t="str">
        <f t="shared" si="220"/>
        <v/>
      </c>
      <c r="CP302" s="37" t="str">
        <f t="shared" si="221"/>
        <v/>
      </c>
      <c r="CQ302" s="77" t="str">
        <f t="shared" si="222"/>
        <v/>
      </c>
      <c r="CR302" s="37" t="str">
        <f t="shared" si="223"/>
        <v/>
      </c>
      <c r="CS302" s="77" t="str">
        <f t="shared" si="224"/>
        <v/>
      </c>
      <c r="CT302" s="37" t="str">
        <f t="shared" si="225"/>
        <v/>
      </c>
      <c r="CU302" s="77" t="str">
        <f t="shared" si="226"/>
        <v/>
      </c>
      <c r="CV302" s="37" t="str">
        <f t="shared" si="227"/>
        <v/>
      </c>
      <c r="CW302" s="77" t="str">
        <f t="shared" si="228"/>
        <v/>
      </c>
      <c r="CX302" s="37" t="str">
        <f t="shared" si="229"/>
        <v/>
      </c>
      <c r="DA302" s="77" t="str">
        <f t="shared" si="230"/>
        <v/>
      </c>
      <c r="DB302" s="37" t="str">
        <f t="shared" si="231"/>
        <v/>
      </c>
      <c r="DC302" s="77" t="str">
        <f t="shared" si="230"/>
        <v/>
      </c>
      <c r="DD302" s="37" t="str">
        <f t="shared" si="232"/>
        <v/>
      </c>
      <c r="DE302" s="77" t="str">
        <f t="shared" si="233"/>
        <v/>
      </c>
      <c r="DF302" s="37" t="str">
        <f t="shared" si="234"/>
        <v/>
      </c>
      <c r="DG302" s="77" t="str">
        <f t="shared" si="235"/>
        <v/>
      </c>
      <c r="DH302" s="37" t="str">
        <f t="shared" si="236"/>
        <v/>
      </c>
      <c r="DI302" s="77" t="str">
        <f t="shared" si="237"/>
        <v/>
      </c>
      <c r="DJ302" s="37" t="str">
        <f t="shared" si="238"/>
        <v/>
      </c>
      <c r="DK302" s="77" t="str">
        <f t="shared" si="239"/>
        <v/>
      </c>
      <c r="DL302" s="37" t="str">
        <f t="shared" si="240"/>
        <v/>
      </c>
      <c r="DN302" s="32">
        <v>301</v>
      </c>
      <c r="DO302" s="34" t="s">
        <v>697</v>
      </c>
      <c r="DP302" s="38">
        <f t="shared" si="214"/>
        <v>0</v>
      </c>
      <c r="DQ302" s="173" t="str">
        <f t="shared" si="192"/>
        <v>(Pers) 0</v>
      </c>
      <c r="DR302" s="36" t="str">
        <f t="shared" si="193"/>
        <v/>
      </c>
      <c r="DV302" s="176">
        <f t="shared" si="190"/>
        <v>0</v>
      </c>
      <c r="DW302" s="243">
        <f>IF(COUNTIF('Char Sheet p1'!$AP$7:$AP$35,DQ302)=0,0,ROUNDDOWN(SUMIF('Char Sheet p1'!$AP$7:$AP$35,DQ302,'Char Sheet p1'!$AQ$7:$AQ$35)/10,0))</f>
        <v>0</v>
      </c>
      <c r="DX302" s="240">
        <f t="shared" si="194"/>
        <v>0</v>
      </c>
      <c r="DY302" s="36">
        <f t="shared" si="216"/>
        <v>15</v>
      </c>
      <c r="DZ302" s="36" t="str">
        <f t="shared" si="191"/>
        <v/>
      </c>
      <c r="EE302" s="36">
        <f t="shared" si="215"/>
        <v>2</v>
      </c>
    </row>
    <row r="303" spans="33:135">
      <c r="AG303" s="61"/>
      <c r="AH303" s="62"/>
      <c r="AI303" s="62"/>
      <c r="AJ303" s="63"/>
      <c r="AK303" s="63"/>
      <c r="AL303" s="63"/>
      <c r="AM303" s="62"/>
      <c r="AN303" s="63">
        <f t="shared" si="242"/>
        <v>68</v>
      </c>
      <c r="AO303" s="64"/>
      <c r="AP303" s="134"/>
      <c r="AQ303" s="47"/>
      <c r="AR303" s="134"/>
      <c r="AS303" s="47"/>
      <c r="AT303" s="134"/>
      <c r="AU303" s="47"/>
      <c r="AV303" s="134"/>
      <c r="AW303" s="47"/>
      <c r="AX303" s="134"/>
      <c r="AY303" s="47"/>
      <c r="AZ303" s="134"/>
      <c r="BA303" s="47"/>
      <c r="BB303" s="134"/>
      <c r="BC303" s="47"/>
      <c r="BD303" s="134"/>
      <c r="BE303" s="47"/>
      <c r="BF303" s="134"/>
      <c r="BG303" s="47"/>
      <c r="BH303" s="134"/>
      <c r="BI303" s="47"/>
      <c r="BJ303" s="134"/>
      <c r="BK303" s="47"/>
      <c r="BL303" s="134"/>
      <c r="BM303" s="47"/>
      <c r="BN303" s="134"/>
      <c r="BO303" s="47"/>
      <c r="BP303" s="134"/>
      <c r="BQ303" s="47"/>
      <c r="BR303" s="134"/>
      <c r="BS303" s="47"/>
      <c r="BT303" s="134"/>
      <c r="BU303" s="47"/>
      <c r="BV303" s="134"/>
      <c r="BW303" s="47"/>
      <c r="BX303" s="134"/>
      <c r="BY303" s="47"/>
      <c r="BZ303" s="134"/>
      <c r="CA303" s="47"/>
      <c r="CB303" s="127"/>
      <c r="CC303" s="127"/>
      <c r="CD303" s="127"/>
      <c r="CE303" s="127"/>
      <c r="CF303" s="127"/>
      <c r="CG303" s="127"/>
      <c r="CH303" s="127"/>
      <c r="CI303" s="127"/>
      <c r="CJ303" s="127"/>
      <c r="CK303" s="77" t="str">
        <f t="shared" si="217"/>
        <v/>
      </c>
      <c r="CL303" s="37" t="str">
        <f t="shared" si="218"/>
        <v/>
      </c>
      <c r="CM303" s="77" t="str">
        <f t="shared" si="219"/>
        <v/>
      </c>
      <c r="CN303" s="37" t="str">
        <f t="shared" si="241"/>
        <v/>
      </c>
      <c r="CO303" s="77" t="str">
        <f t="shared" si="220"/>
        <v/>
      </c>
      <c r="CP303" s="37" t="str">
        <f t="shared" si="221"/>
        <v/>
      </c>
      <c r="CQ303" s="77" t="str">
        <f t="shared" si="222"/>
        <v/>
      </c>
      <c r="CR303" s="37" t="str">
        <f t="shared" si="223"/>
        <v/>
      </c>
      <c r="CS303" s="77" t="str">
        <f t="shared" si="224"/>
        <v/>
      </c>
      <c r="CT303" s="37" t="str">
        <f t="shared" si="225"/>
        <v/>
      </c>
      <c r="CU303" s="77" t="str">
        <f t="shared" si="226"/>
        <v/>
      </c>
      <c r="CV303" s="37" t="str">
        <f t="shared" si="227"/>
        <v/>
      </c>
      <c r="CW303" s="77" t="str">
        <f t="shared" si="228"/>
        <v/>
      </c>
      <c r="CX303" s="37" t="str">
        <f t="shared" si="229"/>
        <v/>
      </c>
      <c r="DA303" s="77" t="str">
        <f t="shared" si="230"/>
        <v/>
      </c>
      <c r="DB303" s="37" t="str">
        <f t="shared" si="231"/>
        <v/>
      </c>
      <c r="DC303" s="77" t="str">
        <f t="shared" si="230"/>
        <v/>
      </c>
      <c r="DD303" s="37" t="str">
        <f t="shared" si="232"/>
        <v/>
      </c>
      <c r="DE303" s="77" t="str">
        <f t="shared" si="233"/>
        <v/>
      </c>
      <c r="DF303" s="37" t="str">
        <f t="shared" si="234"/>
        <v/>
      </c>
      <c r="DG303" s="77" t="str">
        <f t="shared" si="235"/>
        <v/>
      </c>
      <c r="DH303" s="37" t="str">
        <f t="shared" si="236"/>
        <v/>
      </c>
      <c r="DI303" s="77" t="str">
        <f t="shared" si="237"/>
        <v/>
      </c>
      <c r="DJ303" s="37" t="str">
        <f t="shared" si="238"/>
        <v/>
      </c>
      <c r="DK303" s="77" t="str">
        <f t="shared" si="239"/>
        <v/>
      </c>
      <c r="DL303" s="37" t="str">
        <f t="shared" si="240"/>
        <v/>
      </c>
      <c r="DN303" s="32">
        <v>302</v>
      </c>
      <c r="DO303" s="34" t="s">
        <v>697</v>
      </c>
      <c r="DP303" s="38">
        <f t="shared" si="214"/>
        <v>0</v>
      </c>
      <c r="DQ303" s="173" t="str">
        <f t="shared" si="192"/>
        <v>(Pers) 0</v>
      </c>
      <c r="DR303" s="36" t="str">
        <f t="shared" si="193"/>
        <v/>
      </c>
      <c r="DV303" s="176">
        <f t="shared" si="190"/>
        <v>0</v>
      </c>
      <c r="DW303" s="243">
        <f>IF(COUNTIF('Char Sheet p1'!$AP$7:$AP$35,DQ303)=0,0,ROUNDDOWN(SUMIF('Char Sheet p1'!$AP$7:$AP$35,DQ303,'Char Sheet p1'!$AQ$7:$AQ$35)/10,0))</f>
        <v>0</v>
      </c>
      <c r="DX303" s="240">
        <f t="shared" si="194"/>
        <v>0</v>
      </c>
      <c r="DY303" s="36">
        <f t="shared" si="216"/>
        <v>16</v>
      </c>
      <c r="DZ303" s="36" t="str">
        <f t="shared" si="191"/>
        <v/>
      </c>
      <c r="EE303" s="36">
        <f t="shared" si="215"/>
        <v>2</v>
      </c>
    </row>
    <row r="304" spans="33:135">
      <c r="AG304" s="61"/>
      <c r="AH304" s="62"/>
      <c r="AI304" s="62"/>
      <c r="AJ304" s="63"/>
      <c r="AK304" s="63"/>
      <c r="AL304" s="63"/>
      <c r="AM304" s="62"/>
      <c r="AN304" s="63">
        <f t="shared" si="242"/>
        <v>69</v>
      </c>
      <c r="AO304" s="64"/>
      <c r="AP304" s="134"/>
      <c r="AQ304" s="47"/>
      <c r="AR304" s="134"/>
      <c r="AS304" s="47"/>
      <c r="AT304" s="134"/>
      <c r="AU304" s="47"/>
      <c r="AV304" s="134"/>
      <c r="AW304" s="47"/>
      <c r="AX304" s="134"/>
      <c r="AY304" s="47"/>
      <c r="AZ304" s="134"/>
      <c r="BA304" s="47"/>
      <c r="BB304" s="134"/>
      <c r="BC304" s="47"/>
      <c r="BD304" s="134"/>
      <c r="BE304" s="47"/>
      <c r="BF304" s="134"/>
      <c r="BG304" s="47"/>
      <c r="BH304" s="134"/>
      <c r="BI304" s="47"/>
      <c r="BJ304" s="134"/>
      <c r="BK304" s="47"/>
      <c r="BL304" s="134"/>
      <c r="BM304" s="47"/>
      <c r="BN304" s="134"/>
      <c r="BO304" s="47"/>
      <c r="BP304" s="134"/>
      <c r="BQ304" s="47"/>
      <c r="BR304" s="134"/>
      <c r="BS304" s="47"/>
      <c r="BT304" s="134"/>
      <c r="BU304" s="47"/>
      <c r="BV304" s="134"/>
      <c r="BW304" s="47"/>
      <c r="BX304" s="134"/>
      <c r="BY304" s="47"/>
      <c r="BZ304" s="134"/>
      <c r="CA304" s="47"/>
      <c r="CB304" s="127"/>
      <c r="CC304" s="127"/>
      <c r="CD304" s="127"/>
      <c r="CE304" s="127"/>
      <c r="CF304" s="127"/>
      <c r="CG304" s="127"/>
      <c r="CH304" s="127"/>
      <c r="CI304" s="127"/>
      <c r="CJ304" s="127"/>
      <c r="CK304" s="77" t="str">
        <f t="shared" si="217"/>
        <v/>
      </c>
      <c r="CL304" s="37" t="str">
        <f t="shared" si="218"/>
        <v/>
      </c>
      <c r="CM304" s="77" t="str">
        <f t="shared" si="219"/>
        <v/>
      </c>
      <c r="CN304" s="37" t="str">
        <f t="shared" si="241"/>
        <v/>
      </c>
      <c r="CO304" s="77" t="str">
        <f t="shared" si="220"/>
        <v/>
      </c>
      <c r="CP304" s="37" t="str">
        <f t="shared" si="221"/>
        <v/>
      </c>
      <c r="CQ304" s="77" t="str">
        <f t="shared" si="222"/>
        <v/>
      </c>
      <c r="CR304" s="37" t="str">
        <f t="shared" si="223"/>
        <v/>
      </c>
      <c r="CS304" s="77" t="str">
        <f t="shared" si="224"/>
        <v/>
      </c>
      <c r="CT304" s="37" t="str">
        <f t="shared" si="225"/>
        <v/>
      </c>
      <c r="CU304" s="77" t="str">
        <f t="shared" si="226"/>
        <v/>
      </c>
      <c r="CV304" s="37" t="str">
        <f t="shared" si="227"/>
        <v/>
      </c>
      <c r="CW304" s="77" t="str">
        <f t="shared" si="228"/>
        <v/>
      </c>
      <c r="CX304" s="37" t="str">
        <f t="shared" si="229"/>
        <v/>
      </c>
      <c r="DA304" s="77" t="str">
        <f t="shared" si="230"/>
        <v/>
      </c>
      <c r="DB304" s="37" t="str">
        <f t="shared" si="231"/>
        <v/>
      </c>
      <c r="DC304" s="77" t="str">
        <f t="shared" si="230"/>
        <v/>
      </c>
      <c r="DD304" s="37" t="str">
        <f t="shared" si="232"/>
        <v/>
      </c>
      <c r="DE304" s="77" t="str">
        <f t="shared" si="233"/>
        <v/>
      </c>
      <c r="DF304" s="37" t="str">
        <f t="shared" si="234"/>
        <v/>
      </c>
      <c r="DG304" s="77" t="str">
        <f t="shared" si="235"/>
        <v/>
      </c>
      <c r="DH304" s="37" t="str">
        <f t="shared" si="236"/>
        <v/>
      </c>
      <c r="DI304" s="77" t="str">
        <f t="shared" si="237"/>
        <v/>
      </c>
      <c r="DJ304" s="37" t="str">
        <f t="shared" si="238"/>
        <v/>
      </c>
      <c r="DK304" s="77" t="str">
        <f t="shared" si="239"/>
        <v/>
      </c>
      <c r="DL304" s="37" t="str">
        <f t="shared" si="240"/>
        <v/>
      </c>
      <c r="DN304" s="32">
        <v>303</v>
      </c>
      <c r="DO304" s="34" t="s">
        <v>697</v>
      </c>
      <c r="DP304" s="38">
        <f t="shared" si="214"/>
        <v>0</v>
      </c>
      <c r="DQ304" s="173" t="str">
        <f t="shared" si="192"/>
        <v>(Pers) 0</v>
      </c>
      <c r="DR304" s="36" t="str">
        <f t="shared" si="193"/>
        <v/>
      </c>
      <c r="DV304" s="176">
        <f t="shared" si="190"/>
        <v>0</v>
      </c>
      <c r="DW304" s="243">
        <f>IF(COUNTIF('Char Sheet p1'!$AP$7:$AP$35,DQ304)=0,0,ROUNDDOWN(SUMIF('Char Sheet p1'!$AP$7:$AP$35,DQ304,'Char Sheet p1'!$AQ$7:$AQ$35)/10,0))</f>
        <v>0</v>
      </c>
      <c r="DX304" s="240">
        <f t="shared" si="194"/>
        <v>0</v>
      </c>
      <c r="DY304" s="36">
        <f t="shared" si="216"/>
        <v>17</v>
      </c>
      <c r="DZ304" s="36" t="str">
        <f t="shared" si="191"/>
        <v/>
      </c>
      <c r="EE304" s="36">
        <f t="shared" si="215"/>
        <v>2</v>
      </c>
    </row>
    <row r="305" spans="33:135">
      <c r="AG305" s="61"/>
      <c r="AH305" s="62"/>
      <c r="AI305" s="62"/>
      <c r="AJ305" s="63"/>
      <c r="AK305" s="63"/>
      <c r="AL305" s="63"/>
      <c r="AM305" s="62"/>
      <c r="AN305" s="63">
        <f t="shared" si="242"/>
        <v>70</v>
      </c>
      <c r="AO305" s="64"/>
      <c r="AP305" s="134"/>
      <c r="AQ305" s="47"/>
      <c r="AR305" s="134"/>
      <c r="AS305" s="47"/>
      <c r="AT305" s="134"/>
      <c r="AU305" s="47"/>
      <c r="AV305" s="134"/>
      <c r="AW305" s="47"/>
      <c r="AX305" s="134"/>
      <c r="AY305" s="47"/>
      <c r="AZ305" s="134"/>
      <c r="BA305" s="47"/>
      <c r="BB305" s="134"/>
      <c r="BC305" s="47"/>
      <c r="BD305" s="134"/>
      <c r="BE305" s="47"/>
      <c r="BF305" s="134"/>
      <c r="BG305" s="47"/>
      <c r="BH305" s="134"/>
      <c r="BI305" s="47"/>
      <c r="BJ305" s="134"/>
      <c r="BK305" s="47"/>
      <c r="BL305" s="134"/>
      <c r="BM305" s="47"/>
      <c r="BN305" s="134"/>
      <c r="BO305" s="47"/>
      <c r="BP305" s="134"/>
      <c r="BQ305" s="47"/>
      <c r="BR305" s="134"/>
      <c r="BS305" s="47"/>
      <c r="BT305" s="134"/>
      <c r="BU305" s="47"/>
      <c r="BV305" s="134"/>
      <c r="BW305" s="47"/>
      <c r="BX305" s="134"/>
      <c r="BY305" s="47"/>
      <c r="BZ305" s="134"/>
      <c r="CA305" s="47"/>
      <c r="CB305" s="127"/>
      <c r="CC305" s="127"/>
      <c r="CD305" s="127"/>
      <c r="CE305" s="127"/>
      <c r="CF305" s="127"/>
      <c r="CG305" s="127"/>
      <c r="CH305" s="127"/>
      <c r="CI305" s="127"/>
      <c r="CJ305" s="127"/>
      <c r="CK305" s="77" t="str">
        <f t="shared" si="217"/>
        <v/>
      </c>
      <c r="CL305" s="37" t="str">
        <f t="shared" si="218"/>
        <v/>
      </c>
      <c r="CM305" s="77" t="str">
        <f t="shared" si="219"/>
        <v/>
      </c>
      <c r="CN305" s="37" t="str">
        <f t="shared" si="241"/>
        <v/>
      </c>
      <c r="CO305" s="77" t="str">
        <f t="shared" si="220"/>
        <v/>
      </c>
      <c r="CP305" s="37" t="str">
        <f t="shared" si="221"/>
        <v/>
      </c>
      <c r="CQ305" s="77" t="str">
        <f t="shared" si="222"/>
        <v/>
      </c>
      <c r="CR305" s="37" t="str">
        <f t="shared" si="223"/>
        <v/>
      </c>
      <c r="CS305" s="77" t="str">
        <f t="shared" si="224"/>
        <v/>
      </c>
      <c r="CT305" s="37" t="str">
        <f t="shared" si="225"/>
        <v/>
      </c>
      <c r="CU305" s="77" t="str">
        <f t="shared" si="226"/>
        <v/>
      </c>
      <c r="CV305" s="37" t="str">
        <f t="shared" si="227"/>
        <v/>
      </c>
      <c r="CW305" s="77" t="str">
        <f t="shared" si="228"/>
        <v/>
      </c>
      <c r="CX305" s="37" t="str">
        <f t="shared" si="229"/>
        <v/>
      </c>
      <c r="DA305" s="77" t="str">
        <f t="shared" si="230"/>
        <v/>
      </c>
      <c r="DB305" s="37" t="str">
        <f t="shared" si="231"/>
        <v/>
      </c>
      <c r="DC305" s="77" t="str">
        <f t="shared" si="230"/>
        <v/>
      </c>
      <c r="DD305" s="37" t="str">
        <f t="shared" si="232"/>
        <v/>
      </c>
      <c r="DE305" s="77" t="str">
        <f t="shared" si="233"/>
        <v/>
      </c>
      <c r="DF305" s="37" t="str">
        <f t="shared" si="234"/>
        <v/>
      </c>
      <c r="DG305" s="77" t="str">
        <f t="shared" si="235"/>
        <v/>
      </c>
      <c r="DH305" s="37" t="str">
        <f t="shared" si="236"/>
        <v/>
      </c>
      <c r="DI305" s="77" t="str">
        <f t="shared" si="237"/>
        <v/>
      </c>
      <c r="DJ305" s="37" t="str">
        <f t="shared" si="238"/>
        <v/>
      </c>
      <c r="DK305" s="77" t="str">
        <f t="shared" si="239"/>
        <v/>
      </c>
      <c r="DL305" s="37" t="str">
        <f t="shared" si="240"/>
        <v/>
      </c>
      <c r="DN305" s="32">
        <v>304</v>
      </c>
      <c r="DO305" s="34" t="s">
        <v>697</v>
      </c>
      <c r="DP305" s="38">
        <f t="shared" si="214"/>
        <v>0</v>
      </c>
      <c r="DQ305" s="173" t="str">
        <f t="shared" si="192"/>
        <v>(Pers) 0</v>
      </c>
      <c r="DR305" s="36" t="str">
        <f t="shared" si="193"/>
        <v/>
      </c>
      <c r="DV305" s="176">
        <f t="shared" si="190"/>
        <v>0</v>
      </c>
      <c r="DW305" s="243">
        <f>IF(COUNTIF('Char Sheet p1'!$AP$7:$AP$35,DQ305)=0,0,ROUNDDOWN(SUMIF('Char Sheet p1'!$AP$7:$AP$35,DQ305,'Char Sheet p1'!$AQ$7:$AQ$35)/10,0))</f>
        <v>0</v>
      </c>
      <c r="DX305" s="240">
        <f t="shared" si="194"/>
        <v>0</v>
      </c>
      <c r="DY305" s="36">
        <f t="shared" si="216"/>
        <v>18</v>
      </c>
      <c r="DZ305" s="36" t="str">
        <f t="shared" si="191"/>
        <v/>
      </c>
      <c r="EE305" s="36">
        <f t="shared" si="215"/>
        <v>2</v>
      </c>
    </row>
    <row r="306" spans="33:135">
      <c r="AG306" s="61"/>
      <c r="AH306" s="62"/>
      <c r="AI306" s="62"/>
      <c r="AJ306" s="63"/>
      <c r="AK306" s="63"/>
      <c r="AL306" s="63"/>
      <c r="AM306" s="62"/>
      <c r="AN306" s="63">
        <f t="shared" si="242"/>
        <v>71</v>
      </c>
      <c r="AO306" s="64"/>
      <c r="AP306" s="134"/>
      <c r="AQ306" s="47"/>
      <c r="AR306" s="134"/>
      <c r="AS306" s="47"/>
      <c r="AT306" s="134"/>
      <c r="AU306" s="47"/>
      <c r="AV306" s="134"/>
      <c r="AW306" s="47"/>
      <c r="AX306" s="134"/>
      <c r="AY306" s="47"/>
      <c r="AZ306" s="134"/>
      <c r="BA306" s="47"/>
      <c r="BB306" s="134"/>
      <c r="BC306" s="47"/>
      <c r="BD306" s="134"/>
      <c r="BE306" s="47"/>
      <c r="BF306" s="134"/>
      <c r="BG306" s="47"/>
      <c r="BH306" s="134"/>
      <c r="BI306" s="47"/>
      <c r="BJ306" s="134"/>
      <c r="BK306" s="47"/>
      <c r="BL306" s="134"/>
      <c r="BM306" s="47"/>
      <c r="BN306" s="134"/>
      <c r="BO306" s="47"/>
      <c r="BP306" s="134"/>
      <c r="BQ306" s="47"/>
      <c r="BR306" s="134"/>
      <c r="BS306" s="47"/>
      <c r="BT306" s="134"/>
      <c r="BU306" s="47"/>
      <c r="BV306" s="134"/>
      <c r="BW306" s="47"/>
      <c r="BX306" s="134"/>
      <c r="BY306" s="47"/>
      <c r="BZ306" s="134"/>
      <c r="CA306" s="47"/>
      <c r="CB306" s="127"/>
      <c r="CC306" s="127"/>
      <c r="CD306" s="127"/>
      <c r="CE306" s="127"/>
      <c r="CF306" s="127"/>
      <c r="CG306" s="127"/>
      <c r="CH306" s="127"/>
      <c r="CI306" s="127"/>
      <c r="CJ306" s="127"/>
      <c r="CK306" s="77" t="str">
        <f t="shared" si="217"/>
        <v/>
      </c>
      <c r="CL306" s="37" t="str">
        <f t="shared" si="218"/>
        <v/>
      </c>
      <c r="CM306" s="77" t="str">
        <f t="shared" si="219"/>
        <v/>
      </c>
      <c r="CN306" s="37" t="str">
        <f t="shared" si="241"/>
        <v/>
      </c>
      <c r="CO306" s="77" t="str">
        <f t="shared" si="220"/>
        <v/>
      </c>
      <c r="CP306" s="37" t="str">
        <f t="shared" si="221"/>
        <v/>
      </c>
      <c r="CQ306" s="77" t="str">
        <f t="shared" si="222"/>
        <v/>
      </c>
      <c r="CR306" s="37" t="str">
        <f t="shared" si="223"/>
        <v/>
      </c>
      <c r="CS306" s="77" t="str">
        <f t="shared" si="224"/>
        <v/>
      </c>
      <c r="CT306" s="37" t="str">
        <f t="shared" si="225"/>
        <v/>
      </c>
      <c r="CU306" s="77" t="str">
        <f t="shared" si="226"/>
        <v/>
      </c>
      <c r="CV306" s="37" t="str">
        <f t="shared" si="227"/>
        <v/>
      </c>
      <c r="CW306" s="77" t="str">
        <f t="shared" si="228"/>
        <v/>
      </c>
      <c r="CX306" s="37" t="str">
        <f t="shared" si="229"/>
        <v/>
      </c>
      <c r="DA306" s="77" t="str">
        <f t="shared" si="230"/>
        <v/>
      </c>
      <c r="DB306" s="37" t="str">
        <f t="shared" si="231"/>
        <v/>
      </c>
      <c r="DC306" s="77" t="str">
        <f t="shared" si="230"/>
        <v/>
      </c>
      <c r="DD306" s="37" t="str">
        <f t="shared" si="232"/>
        <v/>
      </c>
      <c r="DE306" s="77" t="str">
        <f t="shared" si="233"/>
        <v/>
      </c>
      <c r="DF306" s="37" t="str">
        <f t="shared" si="234"/>
        <v/>
      </c>
      <c r="DG306" s="77" t="str">
        <f t="shared" si="235"/>
        <v/>
      </c>
      <c r="DH306" s="37" t="str">
        <f t="shared" si="236"/>
        <v/>
      </c>
      <c r="DI306" s="77" t="str">
        <f t="shared" si="237"/>
        <v/>
      </c>
      <c r="DJ306" s="37" t="str">
        <f t="shared" si="238"/>
        <v/>
      </c>
      <c r="DK306" s="77" t="str">
        <f t="shared" si="239"/>
        <v/>
      </c>
      <c r="DL306" s="37" t="str">
        <f t="shared" si="240"/>
        <v/>
      </c>
      <c r="DN306" s="32">
        <v>305</v>
      </c>
      <c r="DO306" s="34" t="s">
        <v>697</v>
      </c>
      <c r="DP306" s="38">
        <f t="shared" si="214"/>
        <v>0</v>
      </c>
      <c r="DQ306" s="173" t="str">
        <f t="shared" si="192"/>
        <v>(Pers) 0</v>
      </c>
      <c r="DR306" s="36" t="str">
        <f t="shared" si="193"/>
        <v/>
      </c>
      <c r="DV306" s="176">
        <f t="shared" si="190"/>
        <v>0</v>
      </c>
      <c r="DW306" s="243">
        <f>IF(COUNTIF('Char Sheet p1'!$AP$7:$AP$35,DQ306)=0,0,ROUNDDOWN(SUMIF('Char Sheet p1'!$AP$7:$AP$35,DQ306,'Char Sheet p1'!$AQ$7:$AQ$35)/10,0))</f>
        <v>0</v>
      </c>
      <c r="DX306" s="240">
        <f t="shared" si="194"/>
        <v>0</v>
      </c>
      <c r="DY306" s="36">
        <f t="shared" si="216"/>
        <v>19</v>
      </c>
      <c r="DZ306" s="36" t="str">
        <f t="shared" si="191"/>
        <v/>
      </c>
      <c r="EE306" s="36">
        <f t="shared" si="215"/>
        <v>2</v>
      </c>
    </row>
    <row r="307" spans="33:135">
      <c r="AG307" s="61"/>
      <c r="AH307" s="62"/>
      <c r="AI307" s="62"/>
      <c r="AJ307" s="63"/>
      <c r="AK307" s="63"/>
      <c r="AL307" s="63"/>
      <c r="AM307" s="62"/>
      <c r="AN307" s="63">
        <f t="shared" si="242"/>
        <v>72</v>
      </c>
      <c r="AO307" s="64"/>
      <c r="AP307" s="134"/>
      <c r="AQ307" s="47"/>
      <c r="AR307" s="134"/>
      <c r="AS307" s="47"/>
      <c r="AT307" s="134"/>
      <c r="AU307" s="47"/>
      <c r="AV307" s="134"/>
      <c r="AW307" s="47"/>
      <c r="AX307" s="134"/>
      <c r="AY307" s="47"/>
      <c r="AZ307" s="134"/>
      <c r="BA307" s="47"/>
      <c r="BB307" s="134"/>
      <c r="BC307" s="47"/>
      <c r="BD307" s="134"/>
      <c r="BE307" s="47"/>
      <c r="BF307" s="134"/>
      <c r="BG307" s="47"/>
      <c r="BH307" s="134"/>
      <c r="BI307" s="47"/>
      <c r="BJ307" s="134"/>
      <c r="BK307" s="47"/>
      <c r="BL307" s="134"/>
      <c r="BM307" s="47"/>
      <c r="BN307" s="134"/>
      <c r="BO307" s="47"/>
      <c r="BP307" s="134"/>
      <c r="BQ307" s="47"/>
      <c r="BR307" s="134"/>
      <c r="BS307" s="47"/>
      <c r="BT307" s="134"/>
      <c r="BU307" s="47"/>
      <c r="BV307" s="134"/>
      <c r="BW307" s="47"/>
      <c r="BX307" s="134"/>
      <c r="BY307" s="47"/>
      <c r="BZ307" s="134"/>
      <c r="CA307" s="47"/>
      <c r="CB307" s="127"/>
      <c r="CC307" s="127"/>
      <c r="CD307" s="127"/>
      <c r="CE307" s="127"/>
      <c r="CF307" s="127"/>
      <c r="CG307" s="127"/>
      <c r="CH307" s="127"/>
      <c r="CI307" s="127"/>
      <c r="CJ307" s="127"/>
      <c r="CK307" s="77" t="str">
        <f t="shared" si="217"/>
        <v/>
      </c>
      <c r="CL307" s="37" t="str">
        <f t="shared" si="218"/>
        <v/>
      </c>
      <c r="CM307" s="77" t="str">
        <f t="shared" si="219"/>
        <v/>
      </c>
      <c r="CN307" s="37" t="str">
        <f t="shared" si="241"/>
        <v/>
      </c>
      <c r="CO307" s="77" t="str">
        <f t="shared" si="220"/>
        <v/>
      </c>
      <c r="CP307" s="37" t="str">
        <f t="shared" si="221"/>
        <v/>
      </c>
      <c r="CQ307" s="77" t="str">
        <f t="shared" si="222"/>
        <v/>
      </c>
      <c r="CR307" s="37" t="str">
        <f t="shared" si="223"/>
        <v/>
      </c>
      <c r="CS307" s="77" t="str">
        <f t="shared" si="224"/>
        <v/>
      </c>
      <c r="CT307" s="37" t="str">
        <f t="shared" si="225"/>
        <v/>
      </c>
      <c r="CU307" s="77" t="str">
        <f t="shared" si="226"/>
        <v/>
      </c>
      <c r="CV307" s="37" t="str">
        <f t="shared" si="227"/>
        <v/>
      </c>
      <c r="CW307" s="77" t="str">
        <f t="shared" si="228"/>
        <v/>
      </c>
      <c r="CX307" s="37" t="str">
        <f t="shared" si="229"/>
        <v/>
      </c>
      <c r="DA307" s="77" t="str">
        <f t="shared" si="230"/>
        <v/>
      </c>
      <c r="DB307" s="37" t="str">
        <f t="shared" si="231"/>
        <v/>
      </c>
      <c r="DC307" s="77" t="str">
        <f t="shared" si="230"/>
        <v/>
      </c>
      <c r="DD307" s="37" t="str">
        <f t="shared" si="232"/>
        <v/>
      </c>
      <c r="DE307" s="77" t="str">
        <f t="shared" si="233"/>
        <v/>
      </c>
      <c r="DF307" s="37" t="str">
        <f t="shared" si="234"/>
        <v/>
      </c>
      <c r="DG307" s="77" t="str">
        <f t="shared" si="235"/>
        <v/>
      </c>
      <c r="DH307" s="37" t="str">
        <f t="shared" si="236"/>
        <v/>
      </c>
      <c r="DI307" s="77" t="str">
        <f t="shared" si="237"/>
        <v/>
      </c>
      <c r="DJ307" s="37" t="str">
        <f t="shared" si="238"/>
        <v/>
      </c>
      <c r="DK307" s="77" t="str">
        <f t="shared" si="239"/>
        <v/>
      </c>
      <c r="DL307" s="37" t="str">
        <f t="shared" si="240"/>
        <v/>
      </c>
      <c r="DN307" s="32">
        <v>306</v>
      </c>
      <c r="DO307" s="34" t="s">
        <v>697</v>
      </c>
      <c r="DP307" s="38">
        <f t="shared" si="214"/>
        <v>0</v>
      </c>
      <c r="DQ307" s="173" t="str">
        <f t="shared" si="192"/>
        <v>(Pers) 0</v>
      </c>
      <c r="DR307" s="36" t="str">
        <f t="shared" si="193"/>
        <v/>
      </c>
      <c r="DV307" s="176">
        <f t="shared" si="190"/>
        <v>0</v>
      </c>
      <c r="DW307" s="243">
        <f>IF(COUNTIF('Char Sheet p1'!$AP$7:$AP$35,DQ307)=0,0,ROUNDDOWN(SUMIF('Char Sheet p1'!$AP$7:$AP$35,DQ307,'Char Sheet p1'!$AQ$7:$AQ$35)/10,0))</f>
        <v>0</v>
      </c>
      <c r="DX307" s="240">
        <f t="shared" si="194"/>
        <v>0</v>
      </c>
      <c r="DY307" s="36">
        <f t="shared" si="216"/>
        <v>20</v>
      </c>
      <c r="DZ307" s="36" t="str">
        <f t="shared" si="191"/>
        <v/>
      </c>
      <c r="EE307" s="36">
        <f t="shared" si="215"/>
        <v>2</v>
      </c>
    </row>
    <row r="308" spans="33:135">
      <c r="AG308" s="61"/>
      <c r="AH308" s="62"/>
      <c r="AI308" s="62"/>
      <c r="AJ308" s="63"/>
      <c r="AK308" s="63"/>
      <c r="AL308" s="63"/>
      <c r="AM308" s="62"/>
      <c r="AN308" s="63">
        <f t="shared" si="242"/>
        <v>73</v>
      </c>
      <c r="AO308" s="64"/>
      <c r="AP308" s="134"/>
      <c r="AQ308" s="47"/>
      <c r="AR308" s="134"/>
      <c r="AS308" s="47"/>
      <c r="AT308" s="134"/>
      <c r="AU308" s="47"/>
      <c r="AV308" s="134"/>
      <c r="AW308" s="47"/>
      <c r="AX308" s="134"/>
      <c r="AY308" s="47"/>
      <c r="AZ308" s="134"/>
      <c r="BA308" s="47"/>
      <c r="BB308" s="134"/>
      <c r="BC308" s="47"/>
      <c r="BD308" s="134"/>
      <c r="BE308" s="47"/>
      <c r="BF308" s="134"/>
      <c r="BG308" s="47"/>
      <c r="BH308" s="134"/>
      <c r="BI308" s="47"/>
      <c r="BJ308" s="134"/>
      <c r="BK308" s="47"/>
      <c r="BL308" s="134"/>
      <c r="BM308" s="47"/>
      <c r="BN308" s="134"/>
      <c r="BO308" s="47"/>
      <c r="BP308" s="134"/>
      <c r="BQ308" s="47"/>
      <c r="BR308" s="134"/>
      <c r="BS308" s="47"/>
      <c r="BT308" s="134"/>
      <c r="BU308" s="47"/>
      <c r="BV308" s="134"/>
      <c r="BW308" s="47"/>
      <c r="BX308" s="134"/>
      <c r="BY308" s="47"/>
      <c r="BZ308" s="134"/>
      <c r="CA308" s="47"/>
      <c r="CB308" s="127"/>
      <c r="CC308" s="127"/>
      <c r="CD308" s="127"/>
      <c r="CE308" s="127"/>
      <c r="CF308" s="127"/>
      <c r="CG308" s="127"/>
      <c r="CH308" s="127"/>
      <c r="CI308" s="127"/>
      <c r="CJ308" s="127"/>
      <c r="CK308" s="77" t="str">
        <f t="shared" si="217"/>
        <v/>
      </c>
      <c r="CL308" s="37" t="str">
        <f t="shared" si="218"/>
        <v/>
      </c>
      <c r="CM308" s="77" t="str">
        <f t="shared" si="219"/>
        <v/>
      </c>
      <c r="CN308" s="37" t="str">
        <f t="shared" si="241"/>
        <v/>
      </c>
      <c r="CO308" s="77" t="str">
        <f t="shared" si="220"/>
        <v/>
      </c>
      <c r="CP308" s="37" t="str">
        <f t="shared" si="221"/>
        <v/>
      </c>
      <c r="CQ308" s="77" t="str">
        <f t="shared" si="222"/>
        <v/>
      </c>
      <c r="CR308" s="37" t="str">
        <f t="shared" si="223"/>
        <v/>
      </c>
      <c r="CS308" s="77" t="str">
        <f t="shared" si="224"/>
        <v/>
      </c>
      <c r="CT308" s="37" t="str">
        <f t="shared" si="225"/>
        <v/>
      </c>
      <c r="CU308" s="77" t="str">
        <f t="shared" si="226"/>
        <v/>
      </c>
      <c r="CV308" s="37" t="str">
        <f t="shared" si="227"/>
        <v/>
      </c>
      <c r="CW308" s="77" t="str">
        <f t="shared" si="228"/>
        <v/>
      </c>
      <c r="CX308" s="37" t="str">
        <f t="shared" si="229"/>
        <v/>
      </c>
      <c r="DA308" s="77" t="str">
        <f t="shared" si="230"/>
        <v/>
      </c>
      <c r="DB308" s="37" t="str">
        <f t="shared" si="231"/>
        <v/>
      </c>
      <c r="DC308" s="77" t="str">
        <f t="shared" si="230"/>
        <v/>
      </c>
      <c r="DD308" s="37" t="str">
        <f t="shared" si="232"/>
        <v/>
      </c>
      <c r="DE308" s="77" t="str">
        <f t="shared" si="233"/>
        <v/>
      </c>
      <c r="DF308" s="37" t="str">
        <f t="shared" si="234"/>
        <v/>
      </c>
      <c r="DG308" s="77" t="str">
        <f t="shared" si="235"/>
        <v/>
      </c>
      <c r="DH308" s="37" t="str">
        <f t="shared" si="236"/>
        <v/>
      </c>
      <c r="DI308" s="77" t="str">
        <f t="shared" si="237"/>
        <v/>
      </c>
      <c r="DJ308" s="37" t="str">
        <f t="shared" si="238"/>
        <v/>
      </c>
      <c r="DK308" s="77" t="str">
        <f t="shared" si="239"/>
        <v/>
      </c>
      <c r="DL308" s="37" t="str">
        <f t="shared" si="240"/>
        <v/>
      </c>
      <c r="DN308" s="32">
        <v>307</v>
      </c>
      <c r="DO308" s="34" t="s">
        <v>697</v>
      </c>
      <c r="DP308" s="38">
        <f t="shared" si="214"/>
        <v>0</v>
      </c>
      <c r="DQ308" s="173" t="str">
        <f t="shared" si="192"/>
        <v>(Pers) 0</v>
      </c>
      <c r="DR308" s="36" t="str">
        <f t="shared" si="193"/>
        <v/>
      </c>
      <c r="DV308" s="176">
        <f t="shared" si="190"/>
        <v>0</v>
      </c>
      <c r="DW308" s="243">
        <f>IF(COUNTIF('Char Sheet p1'!$AP$7:$AP$35,DQ308)=0,0,ROUNDDOWN(SUMIF('Char Sheet p1'!$AP$7:$AP$35,DQ308,'Char Sheet p1'!$AQ$7:$AQ$35)/10,0))</f>
        <v>0</v>
      </c>
      <c r="DX308" s="240">
        <f t="shared" si="194"/>
        <v>0</v>
      </c>
      <c r="DY308" s="36">
        <f t="shared" si="216"/>
        <v>21</v>
      </c>
      <c r="DZ308" s="36" t="str">
        <f t="shared" si="191"/>
        <v/>
      </c>
      <c r="EE308" s="36">
        <f t="shared" si="215"/>
        <v>2</v>
      </c>
    </row>
    <row r="309" spans="33:135">
      <c r="AG309" s="61"/>
      <c r="AH309" s="62"/>
      <c r="AI309" s="62"/>
      <c r="AJ309" s="63"/>
      <c r="AK309" s="63"/>
      <c r="AL309" s="63"/>
      <c r="AM309" s="62"/>
      <c r="AN309" s="63">
        <f t="shared" si="242"/>
        <v>74</v>
      </c>
      <c r="AO309" s="64"/>
      <c r="AP309" s="134"/>
      <c r="AQ309" s="47"/>
      <c r="AR309" s="134"/>
      <c r="AS309" s="47"/>
      <c r="AT309" s="134"/>
      <c r="AU309" s="47"/>
      <c r="AV309" s="134"/>
      <c r="AW309" s="47"/>
      <c r="AX309" s="134"/>
      <c r="AY309" s="47"/>
      <c r="AZ309" s="134"/>
      <c r="BA309" s="47"/>
      <c r="BB309" s="134"/>
      <c r="BC309" s="47"/>
      <c r="BD309" s="134"/>
      <c r="BE309" s="47"/>
      <c r="BF309" s="134"/>
      <c r="BG309" s="47"/>
      <c r="BH309" s="134"/>
      <c r="BI309" s="47"/>
      <c r="BJ309" s="134"/>
      <c r="BK309" s="47"/>
      <c r="BL309" s="134"/>
      <c r="BM309" s="47"/>
      <c r="BN309" s="134"/>
      <c r="BO309" s="47"/>
      <c r="BP309" s="134"/>
      <c r="BQ309" s="47"/>
      <c r="BR309" s="134"/>
      <c r="BS309" s="47"/>
      <c r="BT309" s="134"/>
      <c r="BU309" s="47"/>
      <c r="BV309" s="134"/>
      <c r="BW309" s="47"/>
      <c r="BX309" s="134"/>
      <c r="BY309" s="47"/>
      <c r="BZ309" s="134"/>
      <c r="CA309" s="47"/>
      <c r="CB309" s="127"/>
      <c r="CC309" s="127"/>
      <c r="CD309" s="127"/>
      <c r="CE309" s="127"/>
      <c r="CF309" s="127"/>
      <c r="CG309" s="127"/>
      <c r="CH309" s="127"/>
      <c r="CI309" s="127"/>
      <c r="CJ309" s="127"/>
      <c r="CK309" s="77" t="str">
        <f t="shared" si="217"/>
        <v/>
      </c>
      <c r="CL309" s="37" t="str">
        <f t="shared" si="218"/>
        <v/>
      </c>
      <c r="CM309" s="77" t="str">
        <f t="shared" si="219"/>
        <v/>
      </c>
      <c r="CN309" s="37" t="str">
        <f t="shared" si="241"/>
        <v/>
      </c>
      <c r="CO309" s="77" t="str">
        <f t="shared" si="220"/>
        <v/>
      </c>
      <c r="CP309" s="37" t="str">
        <f t="shared" si="221"/>
        <v/>
      </c>
      <c r="CQ309" s="77" t="str">
        <f t="shared" si="222"/>
        <v/>
      </c>
      <c r="CR309" s="37" t="str">
        <f t="shared" si="223"/>
        <v/>
      </c>
      <c r="CS309" s="77" t="str">
        <f t="shared" si="224"/>
        <v/>
      </c>
      <c r="CT309" s="37" t="str">
        <f t="shared" si="225"/>
        <v/>
      </c>
      <c r="CU309" s="77" t="str">
        <f t="shared" si="226"/>
        <v/>
      </c>
      <c r="CV309" s="37" t="str">
        <f t="shared" si="227"/>
        <v/>
      </c>
      <c r="CW309" s="77" t="str">
        <f t="shared" si="228"/>
        <v/>
      </c>
      <c r="CX309" s="37" t="str">
        <f t="shared" si="229"/>
        <v/>
      </c>
      <c r="DA309" s="77" t="str">
        <f t="shared" si="230"/>
        <v/>
      </c>
      <c r="DB309" s="37" t="str">
        <f t="shared" si="231"/>
        <v/>
      </c>
      <c r="DC309" s="77" t="str">
        <f t="shared" si="230"/>
        <v/>
      </c>
      <c r="DD309" s="37" t="str">
        <f t="shared" si="232"/>
        <v/>
      </c>
      <c r="DE309" s="77" t="str">
        <f t="shared" si="233"/>
        <v/>
      </c>
      <c r="DF309" s="37" t="str">
        <f t="shared" si="234"/>
        <v/>
      </c>
      <c r="DG309" s="77" t="str">
        <f t="shared" si="235"/>
        <v/>
      </c>
      <c r="DH309" s="37" t="str">
        <f t="shared" si="236"/>
        <v/>
      </c>
      <c r="DI309" s="77" t="str">
        <f t="shared" si="237"/>
        <v/>
      </c>
      <c r="DJ309" s="37" t="str">
        <f t="shared" si="238"/>
        <v/>
      </c>
      <c r="DK309" s="77" t="str">
        <f t="shared" si="239"/>
        <v/>
      </c>
      <c r="DL309" s="37" t="str">
        <f t="shared" si="240"/>
        <v/>
      </c>
      <c r="DN309" s="32">
        <v>308</v>
      </c>
      <c r="DO309" s="34" t="s">
        <v>697</v>
      </c>
      <c r="DP309" s="38">
        <f t="shared" si="214"/>
        <v>0</v>
      </c>
      <c r="DQ309" s="173" t="str">
        <f t="shared" si="192"/>
        <v>(Pers) 0</v>
      </c>
      <c r="DR309" s="36" t="str">
        <f t="shared" si="193"/>
        <v/>
      </c>
      <c r="DV309" s="176">
        <f t="shared" si="190"/>
        <v>0</v>
      </c>
      <c r="DW309" s="243">
        <f>IF(COUNTIF('Char Sheet p1'!$AP$7:$AP$35,DQ309)=0,0,ROUNDDOWN(SUMIF('Char Sheet p1'!$AP$7:$AP$35,DQ309,'Char Sheet p1'!$AQ$7:$AQ$35)/10,0))</f>
        <v>0</v>
      </c>
      <c r="DX309" s="240">
        <f t="shared" si="194"/>
        <v>0</v>
      </c>
      <c r="DY309" s="36">
        <f t="shared" si="216"/>
        <v>22</v>
      </c>
      <c r="DZ309" s="36" t="str">
        <f t="shared" si="191"/>
        <v/>
      </c>
      <c r="EE309" s="36">
        <f t="shared" si="215"/>
        <v>2</v>
      </c>
    </row>
    <row r="310" spans="33:135">
      <c r="AG310" s="61"/>
      <c r="AH310" s="62"/>
      <c r="AI310" s="62"/>
      <c r="AJ310" s="63"/>
      <c r="AK310" s="63"/>
      <c r="AL310" s="63"/>
      <c r="AM310" s="62"/>
      <c r="AN310" s="63">
        <f t="shared" si="242"/>
        <v>75</v>
      </c>
      <c r="AO310" s="64"/>
      <c r="AP310" s="134"/>
      <c r="AQ310" s="47"/>
      <c r="AR310" s="134"/>
      <c r="AS310" s="47"/>
      <c r="AT310" s="134"/>
      <c r="AU310" s="47"/>
      <c r="AV310" s="134"/>
      <c r="AW310" s="47"/>
      <c r="AX310" s="134"/>
      <c r="AY310" s="47"/>
      <c r="AZ310" s="134"/>
      <c r="BA310" s="47"/>
      <c r="BB310" s="134"/>
      <c r="BC310" s="47"/>
      <c r="BD310" s="134"/>
      <c r="BE310" s="47"/>
      <c r="BF310" s="134"/>
      <c r="BG310" s="47"/>
      <c r="BH310" s="134"/>
      <c r="BI310" s="47"/>
      <c r="BJ310" s="134"/>
      <c r="BK310" s="47"/>
      <c r="BL310" s="134"/>
      <c r="BM310" s="47"/>
      <c r="BN310" s="134"/>
      <c r="BO310" s="47"/>
      <c r="BP310" s="134"/>
      <c r="BQ310" s="47"/>
      <c r="BR310" s="134"/>
      <c r="BS310" s="47"/>
      <c r="BT310" s="134"/>
      <c r="BU310" s="47"/>
      <c r="BV310" s="134"/>
      <c r="BW310" s="47"/>
      <c r="BX310" s="134"/>
      <c r="BY310" s="47"/>
      <c r="BZ310" s="134"/>
      <c r="CA310" s="47"/>
      <c r="CB310" s="127"/>
      <c r="CC310" s="127"/>
      <c r="CD310" s="127"/>
      <c r="CE310" s="127"/>
      <c r="CF310" s="127"/>
      <c r="CG310" s="127"/>
      <c r="CH310" s="127"/>
      <c r="CI310" s="127"/>
      <c r="CJ310" s="127"/>
      <c r="CK310" s="77" t="str">
        <f t="shared" si="217"/>
        <v/>
      </c>
      <c r="CL310" s="37" t="str">
        <f t="shared" si="218"/>
        <v/>
      </c>
      <c r="CM310" s="77" t="str">
        <f t="shared" si="219"/>
        <v/>
      </c>
      <c r="CN310" s="37" t="str">
        <f t="shared" si="241"/>
        <v/>
      </c>
      <c r="CO310" s="77" t="str">
        <f t="shared" si="220"/>
        <v/>
      </c>
      <c r="CP310" s="37" t="str">
        <f t="shared" si="221"/>
        <v/>
      </c>
      <c r="CQ310" s="77" t="str">
        <f t="shared" si="222"/>
        <v/>
      </c>
      <c r="CR310" s="37" t="str">
        <f t="shared" si="223"/>
        <v/>
      </c>
      <c r="CS310" s="77" t="str">
        <f t="shared" si="224"/>
        <v/>
      </c>
      <c r="CT310" s="37" t="str">
        <f t="shared" si="225"/>
        <v/>
      </c>
      <c r="CU310" s="77" t="str">
        <f t="shared" si="226"/>
        <v/>
      </c>
      <c r="CV310" s="37" t="str">
        <f t="shared" si="227"/>
        <v/>
      </c>
      <c r="CW310" s="77" t="str">
        <f t="shared" si="228"/>
        <v/>
      </c>
      <c r="CX310" s="37" t="str">
        <f t="shared" si="229"/>
        <v/>
      </c>
      <c r="DA310" s="77" t="str">
        <f t="shared" si="230"/>
        <v/>
      </c>
      <c r="DB310" s="37" t="str">
        <f t="shared" si="231"/>
        <v/>
      </c>
      <c r="DC310" s="77" t="str">
        <f t="shared" si="230"/>
        <v/>
      </c>
      <c r="DD310" s="37" t="str">
        <f t="shared" si="232"/>
        <v/>
      </c>
      <c r="DE310" s="77" t="str">
        <f t="shared" si="233"/>
        <v/>
      </c>
      <c r="DF310" s="37" t="str">
        <f t="shared" si="234"/>
        <v/>
      </c>
      <c r="DG310" s="77" t="str">
        <f t="shared" si="235"/>
        <v/>
      </c>
      <c r="DH310" s="37" t="str">
        <f t="shared" si="236"/>
        <v/>
      </c>
      <c r="DI310" s="77" t="str">
        <f t="shared" si="237"/>
        <v/>
      </c>
      <c r="DJ310" s="37" t="str">
        <f t="shared" si="238"/>
        <v/>
      </c>
      <c r="DK310" s="77" t="str">
        <f t="shared" si="239"/>
        <v/>
      </c>
      <c r="DL310" s="37" t="str">
        <f t="shared" si="240"/>
        <v/>
      </c>
      <c r="DN310" s="32">
        <v>309</v>
      </c>
      <c r="DO310" s="34" t="s">
        <v>697</v>
      </c>
      <c r="DP310" s="38">
        <f t="shared" si="214"/>
        <v>0</v>
      </c>
      <c r="DQ310" s="173" t="str">
        <f t="shared" si="192"/>
        <v>(Pers) 0</v>
      </c>
      <c r="DR310" s="36" t="str">
        <f t="shared" si="193"/>
        <v/>
      </c>
      <c r="DV310" s="176">
        <f t="shared" si="190"/>
        <v>0</v>
      </c>
      <c r="DW310" s="243">
        <f>IF(COUNTIF('Char Sheet p1'!$AP$7:$AP$35,DQ310)=0,0,ROUNDDOWN(SUMIF('Char Sheet p1'!$AP$7:$AP$35,DQ310,'Char Sheet p1'!$AQ$7:$AQ$35)/10,0))</f>
        <v>0</v>
      </c>
      <c r="DX310" s="240">
        <f t="shared" si="194"/>
        <v>0</v>
      </c>
      <c r="DY310" s="36">
        <f t="shared" si="216"/>
        <v>23</v>
      </c>
      <c r="DZ310" s="36" t="str">
        <f t="shared" si="191"/>
        <v/>
      </c>
      <c r="EE310" s="36">
        <f t="shared" si="215"/>
        <v>2</v>
      </c>
    </row>
    <row r="311" spans="33:135">
      <c r="AG311" s="61"/>
      <c r="AH311" s="62"/>
      <c r="AI311" s="62"/>
      <c r="AJ311" s="63"/>
      <c r="AK311" s="63"/>
      <c r="AL311" s="63"/>
      <c r="AM311" s="62"/>
      <c r="AN311" s="63">
        <f t="shared" si="242"/>
        <v>76</v>
      </c>
      <c r="AO311" s="64"/>
      <c r="AP311" s="134"/>
      <c r="AQ311" s="47"/>
      <c r="AR311" s="134"/>
      <c r="AS311" s="47"/>
      <c r="AT311" s="134"/>
      <c r="AU311" s="47"/>
      <c r="AV311" s="134"/>
      <c r="AW311" s="47"/>
      <c r="AX311" s="134"/>
      <c r="AY311" s="47"/>
      <c r="AZ311" s="134"/>
      <c r="BA311" s="47"/>
      <c r="BB311" s="134"/>
      <c r="BC311" s="47"/>
      <c r="BD311" s="134"/>
      <c r="BE311" s="47"/>
      <c r="BF311" s="134"/>
      <c r="BG311" s="47"/>
      <c r="BH311" s="134"/>
      <c r="BI311" s="47"/>
      <c r="BJ311" s="134"/>
      <c r="BK311" s="47"/>
      <c r="BL311" s="134"/>
      <c r="BM311" s="47"/>
      <c r="BN311" s="134"/>
      <c r="BO311" s="47"/>
      <c r="BP311" s="134"/>
      <c r="BQ311" s="47"/>
      <c r="BR311" s="134"/>
      <c r="BS311" s="47"/>
      <c r="BT311" s="134"/>
      <c r="BU311" s="47"/>
      <c r="BV311" s="134"/>
      <c r="BW311" s="47"/>
      <c r="BX311" s="134"/>
      <c r="BY311" s="47"/>
      <c r="BZ311" s="134"/>
      <c r="CA311" s="47"/>
      <c r="CB311" s="127"/>
      <c r="CC311" s="127"/>
      <c r="CD311" s="127"/>
      <c r="CE311" s="127"/>
      <c r="CF311" s="127"/>
      <c r="CG311" s="127"/>
      <c r="CH311" s="127"/>
      <c r="CI311" s="127"/>
      <c r="CJ311" s="127"/>
      <c r="CK311" s="77" t="str">
        <f t="shared" si="217"/>
        <v/>
      </c>
      <c r="CL311" s="37" t="str">
        <f t="shared" si="218"/>
        <v/>
      </c>
      <c r="CM311" s="77" t="str">
        <f t="shared" si="219"/>
        <v/>
      </c>
      <c r="CN311" s="37" t="str">
        <f t="shared" si="241"/>
        <v/>
      </c>
      <c r="CO311" s="77" t="str">
        <f t="shared" si="220"/>
        <v/>
      </c>
      <c r="CP311" s="37" t="str">
        <f t="shared" si="221"/>
        <v/>
      </c>
      <c r="CQ311" s="77" t="str">
        <f t="shared" si="222"/>
        <v/>
      </c>
      <c r="CR311" s="37" t="str">
        <f t="shared" si="223"/>
        <v/>
      </c>
      <c r="CS311" s="77" t="str">
        <f t="shared" si="224"/>
        <v/>
      </c>
      <c r="CT311" s="37" t="str">
        <f t="shared" si="225"/>
        <v/>
      </c>
      <c r="CU311" s="77" t="str">
        <f t="shared" si="226"/>
        <v/>
      </c>
      <c r="CV311" s="37" t="str">
        <f t="shared" si="227"/>
        <v/>
      </c>
      <c r="CW311" s="77" t="str">
        <f t="shared" si="228"/>
        <v/>
      </c>
      <c r="CX311" s="37" t="str">
        <f t="shared" si="229"/>
        <v/>
      </c>
      <c r="DA311" s="77" t="str">
        <f t="shared" si="230"/>
        <v/>
      </c>
      <c r="DB311" s="37" t="str">
        <f t="shared" si="231"/>
        <v/>
      </c>
      <c r="DC311" s="77" t="str">
        <f t="shared" si="230"/>
        <v/>
      </c>
      <c r="DD311" s="37" t="str">
        <f t="shared" si="232"/>
        <v/>
      </c>
      <c r="DE311" s="77" t="str">
        <f t="shared" si="233"/>
        <v/>
      </c>
      <c r="DF311" s="37" t="str">
        <f t="shared" si="234"/>
        <v/>
      </c>
      <c r="DG311" s="77" t="str">
        <f t="shared" si="235"/>
        <v/>
      </c>
      <c r="DH311" s="37" t="str">
        <f t="shared" si="236"/>
        <v/>
      </c>
      <c r="DI311" s="77" t="str">
        <f t="shared" si="237"/>
        <v/>
      </c>
      <c r="DJ311" s="37" t="str">
        <f t="shared" si="238"/>
        <v/>
      </c>
      <c r="DK311" s="77" t="str">
        <f t="shared" si="239"/>
        <v/>
      </c>
      <c r="DL311" s="37" t="str">
        <f t="shared" si="240"/>
        <v/>
      </c>
      <c r="DN311" s="32">
        <v>310</v>
      </c>
      <c r="DO311" s="34" t="s">
        <v>697</v>
      </c>
      <c r="DP311" s="38">
        <f t="shared" si="214"/>
        <v>0</v>
      </c>
      <c r="DQ311" s="173" t="str">
        <f t="shared" si="192"/>
        <v>(Pers) 0</v>
      </c>
      <c r="DR311" s="36" t="str">
        <f t="shared" si="193"/>
        <v/>
      </c>
      <c r="DV311" s="176">
        <f t="shared" si="190"/>
        <v>0</v>
      </c>
      <c r="DW311" s="243">
        <f>IF(COUNTIF('Char Sheet p1'!$AP$7:$AP$35,DQ311)=0,0,ROUNDDOWN(SUMIF('Char Sheet p1'!$AP$7:$AP$35,DQ311,'Char Sheet p1'!$AQ$7:$AQ$35)/10,0))</f>
        <v>0</v>
      </c>
      <c r="DX311" s="240">
        <f t="shared" si="194"/>
        <v>0</v>
      </c>
      <c r="DY311" s="36">
        <f t="shared" si="216"/>
        <v>24</v>
      </c>
      <c r="DZ311" s="36" t="str">
        <f t="shared" si="191"/>
        <v/>
      </c>
      <c r="EE311" s="36">
        <f t="shared" si="215"/>
        <v>2</v>
      </c>
    </row>
    <row r="312" spans="33:135">
      <c r="AG312" s="61"/>
      <c r="AH312" s="62"/>
      <c r="AI312" s="62"/>
      <c r="AJ312" s="63"/>
      <c r="AK312" s="63"/>
      <c r="AL312" s="63"/>
      <c r="AM312" s="62"/>
      <c r="AN312" s="63">
        <f t="shared" si="242"/>
        <v>77</v>
      </c>
      <c r="AO312" s="64"/>
      <c r="AP312" s="134"/>
      <c r="AQ312" s="47"/>
      <c r="AR312" s="134"/>
      <c r="AS312" s="47"/>
      <c r="AT312" s="134"/>
      <c r="AU312" s="47"/>
      <c r="AV312" s="134"/>
      <c r="AW312" s="47"/>
      <c r="AX312" s="134"/>
      <c r="AY312" s="47"/>
      <c r="AZ312" s="134"/>
      <c r="BA312" s="47"/>
      <c r="BB312" s="134"/>
      <c r="BC312" s="47"/>
      <c r="BD312" s="134"/>
      <c r="BE312" s="47"/>
      <c r="BF312" s="134"/>
      <c r="BG312" s="47"/>
      <c r="BH312" s="134"/>
      <c r="BI312" s="47"/>
      <c r="BJ312" s="134"/>
      <c r="BK312" s="47"/>
      <c r="BL312" s="134"/>
      <c r="BM312" s="47"/>
      <c r="BN312" s="134"/>
      <c r="BO312" s="47"/>
      <c r="BP312" s="134"/>
      <c r="BQ312" s="47"/>
      <c r="BR312" s="134"/>
      <c r="BS312" s="47"/>
      <c r="BT312" s="134"/>
      <c r="BU312" s="47"/>
      <c r="BV312" s="134"/>
      <c r="BW312" s="47"/>
      <c r="BX312" s="134"/>
      <c r="BY312" s="47"/>
      <c r="BZ312" s="134"/>
      <c r="CA312" s="47"/>
      <c r="CB312" s="127"/>
      <c r="CC312" s="127"/>
      <c r="CD312" s="127"/>
      <c r="CE312" s="127"/>
      <c r="CF312" s="127"/>
      <c r="CG312" s="127"/>
      <c r="CH312" s="127"/>
      <c r="CI312" s="127"/>
      <c r="CJ312" s="127"/>
      <c r="CK312" s="77" t="str">
        <f t="shared" si="217"/>
        <v/>
      </c>
      <c r="CL312" s="37" t="str">
        <f t="shared" si="218"/>
        <v/>
      </c>
      <c r="CM312" s="77" t="str">
        <f t="shared" si="219"/>
        <v/>
      </c>
      <c r="CN312" s="37" t="str">
        <f t="shared" si="241"/>
        <v/>
      </c>
      <c r="CO312" s="77" t="str">
        <f t="shared" si="220"/>
        <v/>
      </c>
      <c r="CP312" s="37" t="str">
        <f t="shared" si="221"/>
        <v/>
      </c>
      <c r="CQ312" s="77" t="str">
        <f t="shared" si="222"/>
        <v/>
      </c>
      <c r="CR312" s="37" t="str">
        <f t="shared" si="223"/>
        <v/>
      </c>
      <c r="CS312" s="77" t="str">
        <f t="shared" si="224"/>
        <v/>
      </c>
      <c r="CT312" s="37" t="str">
        <f t="shared" si="225"/>
        <v/>
      </c>
      <c r="CU312" s="77" t="str">
        <f t="shared" si="226"/>
        <v/>
      </c>
      <c r="CV312" s="37" t="str">
        <f t="shared" si="227"/>
        <v/>
      </c>
      <c r="CW312" s="77" t="str">
        <f t="shared" si="228"/>
        <v/>
      </c>
      <c r="CX312" s="37" t="str">
        <f t="shared" si="229"/>
        <v/>
      </c>
      <c r="DA312" s="77" t="str">
        <f t="shared" si="230"/>
        <v/>
      </c>
      <c r="DB312" s="37" t="str">
        <f t="shared" si="231"/>
        <v/>
      </c>
      <c r="DC312" s="77" t="str">
        <f t="shared" si="230"/>
        <v/>
      </c>
      <c r="DD312" s="37" t="str">
        <f t="shared" si="232"/>
        <v/>
      </c>
      <c r="DE312" s="77" t="str">
        <f t="shared" si="233"/>
        <v/>
      </c>
      <c r="DF312" s="37" t="str">
        <f t="shared" si="234"/>
        <v/>
      </c>
      <c r="DG312" s="77" t="str">
        <f t="shared" si="235"/>
        <v/>
      </c>
      <c r="DH312" s="37" t="str">
        <f t="shared" si="236"/>
        <v/>
      </c>
      <c r="DI312" s="77" t="str">
        <f t="shared" si="237"/>
        <v/>
      </c>
      <c r="DJ312" s="37" t="str">
        <f t="shared" si="238"/>
        <v/>
      </c>
      <c r="DK312" s="77" t="str">
        <f t="shared" si="239"/>
        <v/>
      </c>
      <c r="DL312" s="37" t="str">
        <f t="shared" si="240"/>
        <v/>
      </c>
      <c r="DN312" s="32">
        <v>311</v>
      </c>
      <c r="DO312" s="34" t="s">
        <v>697</v>
      </c>
      <c r="DP312" s="38">
        <f t="shared" si="214"/>
        <v>0</v>
      </c>
      <c r="DQ312" s="173" t="str">
        <f t="shared" si="192"/>
        <v>(Pers) 0</v>
      </c>
      <c r="DR312" s="36" t="str">
        <f t="shared" si="193"/>
        <v/>
      </c>
      <c r="DV312" s="176">
        <f t="shared" si="190"/>
        <v>0</v>
      </c>
      <c r="DW312" s="243">
        <f>IF(COUNTIF('Char Sheet p1'!$AP$7:$AP$35,DQ312)=0,0,ROUNDDOWN(SUMIF('Char Sheet p1'!$AP$7:$AP$35,DQ312,'Char Sheet p1'!$AQ$7:$AQ$35)/10,0))</f>
        <v>0</v>
      </c>
      <c r="DX312" s="240">
        <f t="shared" si="194"/>
        <v>0</v>
      </c>
      <c r="DY312" s="36">
        <f t="shared" si="216"/>
        <v>25</v>
      </c>
      <c r="DZ312" s="36" t="str">
        <f t="shared" si="191"/>
        <v/>
      </c>
      <c r="EE312" s="36">
        <f t="shared" si="215"/>
        <v>2</v>
      </c>
    </row>
    <row r="313" spans="33:135">
      <c r="AG313" s="61"/>
      <c r="AH313" s="62"/>
      <c r="AI313" s="62"/>
      <c r="AJ313" s="63"/>
      <c r="AK313" s="63"/>
      <c r="AL313" s="63"/>
      <c r="AM313" s="62"/>
      <c r="AN313" s="63">
        <f t="shared" si="242"/>
        <v>78</v>
      </c>
      <c r="AO313" s="64"/>
      <c r="AP313" s="134"/>
      <c r="AQ313" s="47"/>
      <c r="AR313" s="134"/>
      <c r="AS313" s="47"/>
      <c r="AT313" s="134"/>
      <c r="AU313" s="47"/>
      <c r="AV313" s="134"/>
      <c r="AW313" s="47"/>
      <c r="AX313" s="134"/>
      <c r="AY313" s="47"/>
      <c r="AZ313" s="134"/>
      <c r="BA313" s="47"/>
      <c r="BB313" s="134"/>
      <c r="BC313" s="47"/>
      <c r="BD313" s="134"/>
      <c r="BE313" s="47"/>
      <c r="BF313" s="134"/>
      <c r="BG313" s="47"/>
      <c r="BH313" s="134"/>
      <c r="BI313" s="47"/>
      <c r="BJ313" s="134"/>
      <c r="BK313" s="47"/>
      <c r="BL313" s="134"/>
      <c r="BM313" s="47"/>
      <c r="BN313" s="134"/>
      <c r="BO313" s="47"/>
      <c r="BP313" s="134"/>
      <c r="BQ313" s="47"/>
      <c r="BR313" s="134"/>
      <c r="BS313" s="47"/>
      <c r="BT313" s="134"/>
      <c r="BU313" s="47"/>
      <c r="BV313" s="134"/>
      <c r="BW313" s="47"/>
      <c r="BX313" s="134"/>
      <c r="BY313" s="47"/>
      <c r="BZ313" s="134"/>
      <c r="CA313" s="47"/>
      <c r="CB313" s="127"/>
      <c r="CC313" s="127"/>
      <c r="CD313" s="127"/>
      <c r="CE313" s="127"/>
      <c r="CF313" s="127"/>
      <c r="CG313" s="127"/>
      <c r="CH313" s="127"/>
      <c r="CI313" s="127"/>
      <c r="CJ313" s="127"/>
      <c r="CK313" s="77" t="str">
        <f t="shared" si="217"/>
        <v/>
      </c>
      <c r="CL313" s="37" t="str">
        <f t="shared" si="218"/>
        <v/>
      </c>
      <c r="CM313" s="77" t="str">
        <f t="shared" si="219"/>
        <v/>
      </c>
      <c r="CN313" s="37" t="str">
        <f t="shared" si="241"/>
        <v/>
      </c>
      <c r="CO313" s="77" t="str">
        <f t="shared" si="220"/>
        <v/>
      </c>
      <c r="CP313" s="37" t="str">
        <f t="shared" si="221"/>
        <v/>
      </c>
      <c r="CQ313" s="77" t="str">
        <f t="shared" si="222"/>
        <v/>
      </c>
      <c r="CR313" s="37" t="str">
        <f t="shared" si="223"/>
        <v/>
      </c>
      <c r="CS313" s="77" t="str">
        <f t="shared" si="224"/>
        <v/>
      </c>
      <c r="CT313" s="37" t="str">
        <f t="shared" si="225"/>
        <v/>
      </c>
      <c r="CU313" s="77" t="str">
        <f t="shared" si="226"/>
        <v/>
      </c>
      <c r="CV313" s="37" t="str">
        <f t="shared" si="227"/>
        <v/>
      </c>
      <c r="CW313" s="77" t="str">
        <f t="shared" si="228"/>
        <v/>
      </c>
      <c r="CX313" s="37" t="str">
        <f t="shared" si="229"/>
        <v/>
      </c>
      <c r="DA313" s="77" t="str">
        <f t="shared" si="230"/>
        <v/>
      </c>
      <c r="DB313" s="37" t="str">
        <f t="shared" si="231"/>
        <v/>
      </c>
      <c r="DC313" s="77" t="str">
        <f t="shared" si="230"/>
        <v/>
      </c>
      <c r="DD313" s="37" t="str">
        <f t="shared" si="232"/>
        <v/>
      </c>
      <c r="DE313" s="77" t="str">
        <f t="shared" si="233"/>
        <v/>
      </c>
      <c r="DF313" s="37" t="str">
        <f t="shared" si="234"/>
        <v/>
      </c>
      <c r="DG313" s="77" t="str">
        <f t="shared" si="235"/>
        <v/>
      </c>
      <c r="DH313" s="37" t="str">
        <f t="shared" si="236"/>
        <v/>
      </c>
      <c r="DI313" s="77" t="str">
        <f t="shared" si="237"/>
        <v/>
      </c>
      <c r="DJ313" s="37" t="str">
        <f t="shared" si="238"/>
        <v/>
      </c>
      <c r="DK313" s="77" t="str">
        <f t="shared" si="239"/>
        <v/>
      </c>
      <c r="DL313" s="37" t="str">
        <f t="shared" si="240"/>
        <v/>
      </c>
      <c r="DN313" s="32">
        <v>312</v>
      </c>
      <c r="DO313" s="34" t="s">
        <v>697</v>
      </c>
      <c r="DP313" s="38">
        <f t="shared" si="214"/>
        <v>0</v>
      </c>
      <c r="DQ313" s="173" t="str">
        <f t="shared" si="192"/>
        <v>(Pers) 0</v>
      </c>
      <c r="DR313" s="36" t="str">
        <f t="shared" si="193"/>
        <v/>
      </c>
      <c r="DV313" s="176">
        <f t="shared" si="190"/>
        <v>0</v>
      </c>
      <c r="DW313" s="243">
        <f>IF(COUNTIF('Char Sheet p1'!$AP$7:$AP$35,DQ313)=0,0,ROUNDDOWN(SUMIF('Char Sheet p1'!$AP$7:$AP$35,DQ313,'Char Sheet p1'!$AQ$7:$AQ$35)/10,0))</f>
        <v>0</v>
      </c>
      <c r="DX313" s="240">
        <f t="shared" si="194"/>
        <v>0</v>
      </c>
      <c r="DY313" s="36">
        <f t="shared" si="216"/>
        <v>26</v>
      </c>
      <c r="DZ313" s="36" t="str">
        <f t="shared" si="191"/>
        <v/>
      </c>
      <c r="EE313" s="55">
        <f t="shared" si="215"/>
        <v>2</v>
      </c>
    </row>
    <row r="314" spans="33:135">
      <c r="AG314" s="61"/>
      <c r="AH314" s="62"/>
      <c r="AI314" s="62"/>
      <c r="AJ314" s="63"/>
      <c r="AK314" s="63"/>
      <c r="AL314" s="63"/>
      <c r="AM314" s="62"/>
      <c r="AN314" s="63">
        <f t="shared" si="242"/>
        <v>79</v>
      </c>
      <c r="AO314" s="64"/>
      <c r="AP314" s="134"/>
      <c r="AQ314" s="47"/>
      <c r="AR314" s="134"/>
      <c r="AS314" s="47"/>
      <c r="AT314" s="134"/>
      <c r="AU314" s="47"/>
      <c r="AV314" s="134"/>
      <c r="AW314" s="47"/>
      <c r="AX314" s="134"/>
      <c r="AY314" s="47"/>
      <c r="AZ314" s="134"/>
      <c r="BA314" s="47"/>
      <c r="BB314" s="134"/>
      <c r="BC314" s="47"/>
      <c r="BD314" s="134"/>
      <c r="BE314" s="47"/>
      <c r="BF314" s="134"/>
      <c r="BG314" s="47"/>
      <c r="BH314" s="134"/>
      <c r="BI314" s="47"/>
      <c r="BJ314" s="134"/>
      <c r="BK314" s="47"/>
      <c r="BL314" s="134"/>
      <c r="BM314" s="47"/>
      <c r="BN314" s="134"/>
      <c r="BO314" s="47"/>
      <c r="BP314" s="134"/>
      <c r="BQ314" s="47"/>
      <c r="BR314" s="134"/>
      <c r="BS314" s="47"/>
      <c r="BT314" s="134"/>
      <c r="BU314" s="47"/>
      <c r="BV314" s="134"/>
      <c r="BW314" s="47"/>
      <c r="BX314" s="134"/>
      <c r="BY314" s="47"/>
      <c r="BZ314" s="134"/>
      <c r="CA314" s="47"/>
      <c r="CB314" s="127"/>
      <c r="CC314" s="127"/>
      <c r="CD314" s="127"/>
      <c r="CE314" s="127"/>
      <c r="CF314" s="127"/>
      <c r="CG314" s="127"/>
      <c r="CH314" s="127"/>
      <c r="CI314" s="127"/>
      <c r="CJ314" s="127"/>
      <c r="CK314" s="77" t="str">
        <f t="shared" si="217"/>
        <v/>
      </c>
      <c r="CL314" s="37" t="str">
        <f t="shared" si="218"/>
        <v/>
      </c>
      <c r="CM314" s="77" t="str">
        <f t="shared" si="219"/>
        <v/>
      </c>
      <c r="CN314" s="37" t="str">
        <f t="shared" si="241"/>
        <v/>
      </c>
      <c r="CO314" s="77" t="str">
        <f t="shared" si="220"/>
        <v/>
      </c>
      <c r="CP314" s="37" t="str">
        <f t="shared" si="221"/>
        <v/>
      </c>
      <c r="CQ314" s="77" t="str">
        <f t="shared" si="222"/>
        <v/>
      </c>
      <c r="CR314" s="37" t="str">
        <f t="shared" si="223"/>
        <v/>
      </c>
      <c r="CS314" s="77" t="str">
        <f t="shared" si="224"/>
        <v/>
      </c>
      <c r="CT314" s="37" t="str">
        <f t="shared" si="225"/>
        <v/>
      </c>
      <c r="CU314" s="77" t="str">
        <f t="shared" si="226"/>
        <v/>
      </c>
      <c r="CV314" s="37" t="str">
        <f t="shared" si="227"/>
        <v/>
      </c>
      <c r="CW314" s="77" t="str">
        <f t="shared" si="228"/>
        <v/>
      </c>
      <c r="CX314" s="37" t="str">
        <f t="shared" si="229"/>
        <v/>
      </c>
      <c r="DA314" s="77" t="str">
        <f t="shared" si="230"/>
        <v/>
      </c>
      <c r="DB314" s="37" t="str">
        <f t="shared" si="231"/>
        <v/>
      </c>
      <c r="DC314" s="77" t="str">
        <f t="shared" si="230"/>
        <v/>
      </c>
      <c r="DD314" s="37" t="str">
        <f t="shared" si="232"/>
        <v/>
      </c>
      <c r="DE314" s="77" t="str">
        <f t="shared" si="233"/>
        <v/>
      </c>
      <c r="DF314" s="37" t="str">
        <f t="shared" si="234"/>
        <v/>
      </c>
      <c r="DG314" s="77" t="str">
        <f t="shared" si="235"/>
        <v/>
      </c>
      <c r="DH314" s="37" t="str">
        <f t="shared" si="236"/>
        <v/>
      </c>
      <c r="DI314" s="77" t="str">
        <f t="shared" si="237"/>
        <v/>
      </c>
      <c r="DJ314" s="37" t="str">
        <f t="shared" si="238"/>
        <v/>
      </c>
      <c r="DK314" s="77" t="str">
        <f t="shared" si="239"/>
        <v/>
      </c>
      <c r="DL314" s="37" t="str">
        <f t="shared" si="240"/>
        <v/>
      </c>
      <c r="DN314" s="32">
        <v>313</v>
      </c>
      <c r="DO314" s="34" t="s">
        <v>704</v>
      </c>
      <c r="DP314" s="38" t="str">
        <f t="shared" ref="DP314:DP339" si="243">Y2</f>
        <v>Breeding</v>
      </c>
      <c r="DQ314" s="173" t="str">
        <f t="shared" si="192"/>
        <v>(Stat) Breeding</v>
      </c>
      <c r="DR314" s="36">
        <f t="shared" si="193"/>
        <v>313</v>
      </c>
      <c r="DV314" s="176">
        <f t="shared" si="190"/>
        <v>0</v>
      </c>
      <c r="DW314" s="243">
        <f>IF(COUNTIF('Char Sheet p1'!$AP$7:$AP$35,DQ314)=0,0,ROUNDDOWN(SUMIF('Char Sheet p1'!$AP$7:$AP$35,DQ314,'Char Sheet p1'!$AQ$7:$AQ$35)/10,0))</f>
        <v>0</v>
      </c>
      <c r="DX314" s="240">
        <f t="shared" si="194"/>
        <v>0</v>
      </c>
      <c r="DY314" s="36">
        <v>1</v>
      </c>
      <c r="DZ314" s="36" t="str">
        <f t="shared" si="191"/>
        <v/>
      </c>
      <c r="EE314" s="245">
        <f>'Char Sheet p1'!T15</f>
        <v>1</v>
      </c>
    </row>
    <row r="315" spans="33:135">
      <c r="AG315" s="61"/>
      <c r="AH315" s="62"/>
      <c r="AI315" s="62"/>
      <c r="AJ315" s="63"/>
      <c r="AK315" s="63"/>
      <c r="AL315" s="63"/>
      <c r="AM315" s="62"/>
      <c r="AN315" s="63">
        <f t="shared" si="242"/>
        <v>80</v>
      </c>
      <c r="AO315" s="64"/>
      <c r="AP315" s="134"/>
      <c r="AQ315" s="47"/>
      <c r="AR315" s="134"/>
      <c r="AS315" s="47"/>
      <c r="AT315" s="134"/>
      <c r="AU315" s="47"/>
      <c r="AV315" s="134"/>
      <c r="AW315" s="47"/>
      <c r="AX315" s="134"/>
      <c r="AY315" s="47"/>
      <c r="AZ315" s="134"/>
      <c r="BA315" s="47"/>
      <c r="BB315" s="134"/>
      <c r="BC315" s="47"/>
      <c r="BD315" s="134"/>
      <c r="BE315" s="47"/>
      <c r="BF315" s="134"/>
      <c r="BG315" s="47"/>
      <c r="BH315" s="134"/>
      <c r="BI315" s="47"/>
      <c r="BJ315" s="134"/>
      <c r="BK315" s="47"/>
      <c r="BL315" s="134"/>
      <c r="BM315" s="47"/>
      <c r="BN315" s="134"/>
      <c r="BO315" s="47"/>
      <c r="BP315" s="134"/>
      <c r="BQ315" s="47"/>
      <c r="BR315" s="134"/>
      <c r="BS315" s="47"/>
      <c r="BT315" s="134"/>
      <c r="BU315" s="47"/>
      <c r="BV315" s="134"/>
      <c r="BW315" s="47"/>
      <c r="BX315" s="134"/>
      <c r="BY315" s="47"/>
      <c r="BZ315" s="134"/>
      <c r="CA315" s="47"/>
      <c r="CB315" s="127"/>
      <c r="CC315" s="127"/>
      <c r="CD315" s="127"/>
      <c r="CE315" s="127"/>
      <c r="CF315" s="127"/>
      <c r="CG315" s="127"/>
      <c r="CH315" s="127"/>
      <c r="CI315" s="127"/>
      <c r="CJ315" s="127"/>
      <c r="CK315" s="77" t="str">
        <f t="shared" si="217"/>
        <v/>
      </c>
      <c r="CL315" s="37" t="str">
        <f t="shared" si="218"/>
        <v/>
      </c>
      <c r="CM315" s="77" t="str">
        <f t="shared" si="219"/>
        <v/>
      </c>
      <c r="CN315" s="37" t="str">
        <f t="shared" si="241"/>
        <v/>
      </c>
      <c r="CO315" s="77" t="str">
        <f t="shared" si="220"/>
        <v/>
      </c>
      <c r="CP315" s="37" t="str">
        <f t="shared" si="221"/>
        <v/>
      </c>
      <c r="CQ315" s="77" t="str">
        <f t="shared" si="222"/>
        <v/>
      </c>
      <c r="CR315" s="37" t="str">
        <f t="shared" si="223"/>
        <v/>
      </c>
      <c r="CS315" s="77" t="str">
        <f t="shared" si="224"/>
        <v/>
      </c>
      <c r="CT315" s="37" t="str">
        <f t="shared" si="225"/>
        <v/>
      </c>
      <c r="CU315" s="77" t="str">
        <f t="shared" si="226"/>
        <v/>
      </c>
      <c r="CV315" s="37" t="str">
        <f t="shared" si="227"/>
        <v/>
      </c>
      <c r="CW315" s="77" t="str">
        <f t="shared" si="228"/>
        <v/>
      </c>
      <c r="CX315" s="37" t="str">
        <f t="shared" si="229"/>
        <v/>
      </c>
      <c r="DA315" s="77" t="str">
        <f t="shared" si="230"/>
        <v/>
      </c>
      <c r="DB315" s="37" t="str">
        <f t="shared" si="231"/>
        <v/>
      </c>
      <c r="DC315" s="77" t="str">
        <f t="shared" si="230"/>
        <v/>
      </c>
      <c r="DD315" s="37" t="str">
        <f t="shared" si="232"/>
        <v/>
      </c>
      <c r="DE315" s="77" t="str">
        <f t="shared" si="233"/>
        <v/>
      </c>
      <c r="DF315" s="37" t="str">
        <f t="shared" si="234"/>
        <v/>
      </c>
      <c r="DG315" s="77" t="str">
        <f t="shared" si="235"/>
        <v/>
      </c>
      <c r="DH315" s="37" t="str">
        <f t="shared" si="236"/>
        <v/>
      </c>
      <c r="DI315" s="77" t="str">
        <f t="shared" si="237"/>
        <v/>
      </c>
      <c r="DJ315" s="37" t="str">
        <f t="shared" si="238"/>
        <v/>
      </c>
      <c r="DK315" s="77" t="str">
        <f t="shared" si="239"/>
        <v/>
      </c>
      <c r="DL315" s="37" t="str">
        <f t="shared" si="240"/>
        <v/>
      </c>
      <c r="DN315" s="32">
        <v>314</v>
      </c>
      <c r="DO315" s="34" t="s">
        <v>704</v>
      </c>
      <c r="DP315" s="38" t="str">
        <f t="shared" si="243"/>
        <v>Reputation</v>
      </c>
      <c r="DQ315" s="173" t="str">
        <f t="shared" si="192"/>
        <v>(Stat) Reputation</v>
      </c>
      <c r="DR315" s="36">
        <f t="shared" si="193"/>
        <v>314</v>
      </c>
      <c r="DV315" s="176">
        <f t="shared" si="190"/>
        <v>0</v>
      </c>
      <c r="DW315" s="243">
        <f>IF(COUNTIF('Char Sheet p1'!$AP$7:$AP$35,DQ315)=0,0,ROUNDDOWN(SUMIF('Char Sheet p1'!$AP$7:$AP$35,DQ315,'Char Sheet p1'!$AQ$7:$AQ$35)/10,0))</f>
        <v>0</v>
      </c>
      <c r="DX315" s="240">
        <f t="shared" si="194"/>
        <v>0</v>
      </c>
      <c r="DY315" s="36">
        <v>2</v>
      </c>
      <c r="DZ315" s="36" t="str">
        <f t="shared" si="191"/>
        <v/>
      </c>
      <c r="EE315" s="36">
        <f>EE314</f>
        <v>1</v>
      </c>
    </row>
    <row r="316" spans="33:135">
      <c r="AG316" s="61"/>
      <c r="AH316" s="62"/>
      <c r="AI316" s="62"/>
      <c r="AJ316" s="63"/>
      <c r="AK316" s="63"/>
      <c r="AL316" s="63"/>
      <c r="AM316" s="62"/>
      <c r="AN316" s="63">
        <f t="shared" si="242"/>
        <v>81</v>
      </c>
      <c r="AO316" s="64"/>
      <c r="AP316" s="134"/>
      <c r="AQ316" s="47"/>
      <c r="AR316" s="134"/>
      <c r="AS316" s="47"/>
      <c r="AT316" s="134"/>
      <c r="AU316" s="47"/>
      <c r="AV316" s="134"/>
      <c r="AW316" s="47"/>
      <c r="AX316" s="134"/>
      <c r="AY316" s="47"/>
      <c r="AZ316" s="134"/>
      <c r="BA316" s="47"/>
      <c r="BB316" s="134"/>
      <c r="BC316" s="47"/>
      <c r="BD316" s="134"/>
      <c r="BE316" s="47"/>
      <c r="BF316" s="134"/>
      <c r="BG316" s="47"/>
      <c r="BH316" s="134"/>
      <c r="BI316" s="47"/>
      <c r="BJ316" s="134"/>
      <c r="BK316" s="47"/>
      <c r="BL316" s="134"/>
      <c r="BM316" s="47"/>
      <c r="BN316" s="134"/>
      <c r="BO316" s="47"/>
      <c r="BP316" s="134"/>
      <c r="BQ316" s="47"/>
      <c r="BR316" s="134"/>
      <c r="BS316" s="47"/>
      <c r="BT316" s="134"/>
      <c r="BU316" s="47"/>
      <c r="BV316" s="134"/>
      <c r="BW316" s="47"/>
      <c r="BX316" s="134"/>
      <c r="BY316" s="47"/>
      <c r="BZ316" s="134"/>
      <c r="CA316" s="47"/>
      <c r="CB316" s="127"/>
      <c r="CC316" s="127"/>
      <c r="CD316" s="127"/>
      <c r="CE316" s="127"/>
      <c r="CF316" s="127"/>
      <c r="CG316" s="127"/>
      <c r="CH316" s="127"/>
      <c r="CI316" s="127"/>
      <c r="CJ316" s="127"/>
      <c r="CK316" s="77" t="str">
        <f t="shared" si="217"/>
        <v/>
      </c>
      <c r="CL316" s="37" t="str">
        <f t="shared" si="218"/>
        <v/>
      </c>
      <c r="CM316" s="77" t="str">
        <f t="shared" si="219"/>
        <v/>
      </c>
      <c r="CN316" s="37" t="str">
        <f t="shared" si="241"/>
        <v/>
      </c>
      <c r="CO316" s="77" t="str">
        <f t="shared" si="220"/>
        <v/>
      </c>
      <c r="CP316" s="37" t="str">
        <f t="shared" si="221"/>
        <v/>
      </c>
      <c r="CQ316" s="77" t="str">
        <f t="shared" si="222"/>
        <v/>
      </c>
      <c r="CR316" s="37" t="str">
        <f t="shared" si="223"/>
        <v/>
      </c>
      <c r="CS316" s="77" t="str">
        <f t="shared" si="224"/>
        <v/>
      </c>
      <c r="CT316" s="37" t="str">
        <f t="shared" si="225"/>
        <v/>
      </c>
      <c r="CU316" s="77" t="str">
        <f t="shared" si="226"/>
        <v/>
      </c>
      <c r="CV316" s="37" t="str">
        <f t="shared" si="227"/>
        <v/>
      </c>
      <c r="CW316" s="77" t="str">
        <f t="shared" si="228"/>
        <v/>
      </c>
      <c r="CX316" s="37" t="str">
        <f t="shared" si="229"/>
        <v/>
      </c>
      <c r="DA316" s="77" t="str">
        <f t="shared" si="230"/>
        <v/>
      </c>
      <c r="DB316" s="37" t="str">
        <f t="shared" si="231"/>
        <v/>
      </c>
      <c r="DC316" s="77" t="str">
        <f t="shared" si="230"/>
        <v/>
      </c>
      <c r="DD316" s="37" t="str">
        <f t="shared" si="232"/>
        <v/>
      </c>
      <c r="DE316" s="77" t="str">
        <f t="shared" si="233"/>
        <v/>
      </c>
      <c r="DF316" s="37" t="str">
        <f t="shared" si="234"/>
        <v/>
      </c>
      <c r="DG316" s="77" t="str">
        <f t="shared" si="235"/>
        <v/>
      </c>
      <c r="DH316" s="37" t="str">
        <f t="shared" si="236"/>
        <v/>
      </c>
      <c r="DI316" s="77" t="str">
        <f t="shared" si="237"/>
        <v/>
      </c>
      <c r="DJ316" s="37" t="str">
        <f t="shared" si="238"/>
        <v/>
      </c>
      <c r="DK316" s="77" t="str">
        <f t="shared" si="239"/>
        <v/>
      </c>
      <c r="DL316" s="37" t="str">
        <f t="shared" si="240"/>
        <v/>
      </c>
      <c r="DN316" s="32">
        <v>315</v>
      </c>
      <c r="DO316" s="34" t="s">
        <v>704</v>
      </c>
      <c r="DP316" s="38" t="str">
        <f t="shared" si="243"/>
        <v>Stewardship</v>
      </c>
      <c r="DQ316" s="173" t="str">
        <f t="shared" si="192"/>
        <v>(Stat) Stewardship</v>
      </c>
      <c r="DR316" s="36">
        <f t="shared" si="193"/>
        <v>315</v>
      </c>
      <c r="DV316" s="176">
        <f t="shared" si="190"/>
        <v>0</v>
      </c>
      <c r="DW316" s="243">
        <f>IF(COUNTIF('Char Sheet p1'!$AP$7:$AP$35,DQ316)=0,0,ROUNDDOWN(SUMIF('Char Sheet p1'!$AP$7:$AP$35,DQ316,'Char Sheet p1'!$AQ$7:$AQ$35)/10,0))</f>
        <v>0</v>
      </c>
      <c r="DX316" s="240">
        <f t="shared" si="194"/>
        <v>0</v>
      </c>
      <c r="DY316" s="36">
        <v>3</v>
      </c>
      <c r="DZ316" s="36" t="str">
        <f t="shared" si="191"/>
        <v/>
      </c>
      <c r="EE316" s="36">
        <f t="shared" ref="EE316:EE339" si="244">EE315</f>
        <v>1</v>
      </c>
    </row>
    <row r="317" spans="33:135">
      <c r="AG317" s="61"/>
      <c r="AH317" s="62"/>
      <c r="AI317" s="62"/>
      <c r="AJ317" s="63"/>
      <c r="AK317" s="63"/>
      <c r="AL317" s="63"/>
      <c r="AM317" s="62"/>
      <c r="AN317" s="63">
        <f t="shared" si="242"/>
        <v>82</v>
      </c>
      <c r="AO317" s="64"/>
      <c r="AP317" s="134"/>
      <c r="AQ317" s="47"/>
      <c r="AR317" s="134"/>
      <c r="AS317" s="47"/>
      <c r="AT317" s="134"/>
      <c r="AU317" s="47"/>
      <c r="AV317" s="134"/>
      <c r="AW317" s="47"/>
      <c r="AX317" s="134"/>
      <c r="AY317" s="47"/>
      <c r="AZ317" s="134"/>
      <c r="BA317" s="47"/>
      <c r="BB317" s="134"/>
      <c r="BC317" s="47"/>
      <c r="BD317" s="134"/>
      <c r="BE317" s="47"/>
      <c r="BF317" s="134"/>
      <c r="BG317" s="47"/>
      <c r="BH317" s="134"/>
      <c r="BI317" s="47"/>
      <c r="BJ317" s="134"/>
      <c r="BK317" s="47"/>
      <c r="BL317" s="134"/>
      <c r="BM317" s="47"/>
      <c r="BN317" s="134"/>
      <c r="BO317" s="47"/>
      <c r="BP317" s="134"/>
      <c r="BQ317" s="47"/>
      <c r="BR317" s="134"/>
      <c r="BS317" s="47"/>
      <c r="BT317" s="134"/>
      <c r="BU317" s="47"/>
      <c r="BV317" s="134"/>
      <c r="BW317" s="47"/>
      <c r="BX317" s="134"/>
      <c r="BY317" s="47"/>
      <c r="BZ317" s="134"/>
      <c r="CA317" s="47"/>
      <c r="CB317" s="127"/>
      <c r="CC317" s="127"/>
      <c r="CD317" s="127"/>
      <c r="CE317" s="127"/>
      <c r="CF317" s="127"/>
      <c r="CG317" s="127"/>
      <c r="CH317" s="127"/>
      <c r="CI317" s="127"/>
      <c r="CJ317" s="127"/>
      <c r="CK317" s="77" t="str">
        <f t="shared" si="217"/>
        <v/>
      </c>
      <c r="CL317" s="37" t="str">
        <f t="shared" si="218"/>
        <v/>
      </c>
      <c r="CM317" s="77" t="str">
        <f t="shared" si="219"/>
        <v/>
      </c>
      <c r="CN317" s="37" t="str">
        <f t="shared" si="241"/>
        <v/>
      </c>
      <c r="CO317" s="77" t="str">
        <f t="shared" si="220"/>
        <v/>
      </c>
      <c r="CP317" s="37" t="str">
        <f t="shared" si="221"/>
        <v/>
      </c>
      <c r="CQ317" s="77" t="str">
        <f t="shared" si="222"/>
        <v/>
      </c>
      <c r="CR317" s="37" t="str">
        <f t="shared" si="223"/>
        <v/>
      </c>
      <c r="CS317" s="77" t="str">
        <f t="shared" si="224"/>
        <v/>
      </c>
      <c r="CT317" s="37" t="str">
        <f t="shared" si="225"/>
        <v/>
      </c>
      <c r="CU317" s="77" t="str">
        <f t="shared" si="226"/>
        <v/>
      </c>
      <c r="CV317" s="37" t="str">
        <f t="shared" si="227"/>
        <v/>
      </c>
      <c r="CW317" s="77" t="str">
        <f t="shared" si="228"/>
        <v/>
      </c>
      <c r="CX317" s="37" t="str">
        <f t="shared" si="229"/>
        <v/>
      </c>
      <c r="DA317" s="77" t="str">
        <f t="shared" si="230"/>
        <v/>
      </c>
      <c r="DB317" s="37" t="str">
        <f t="shared" si="231"/>
        <v/>
      </c>
      <c r="DC317" s="77" t="str">
        <f t="shared" si="230"/>
        <v/>
      </c>
      <c r="DD317" s="37" t="str">
        <f t="shared" si="232"/>
        <v/>
      </c>
      <c r="DE317" s="77" t="str">
        <f t="shared" si="233"/>
        <v/>
      </c>
      <c r="DF317" s="37" t="str">
        <f t="shared" si="234"/>
        <v/>
      </c>
      <c r="DG317" s="77" t="str">
        <f t="shared" si="235"/>
        <v/>
      </c>
      <c r="DH317" s="37" t="str">
        <f t="shared" si="236"/>
        <v/>
      </c>
      <c r="DI317" s="77" t="str">
        <f t="shared" si="237"/>
        <v/>
      </c>
      <c r="DJ317" s="37" t="str">
        <f t="shared" si="238"/>
        <v/>
      </c>
      <c r="DK317" s="77" t="str">
        <f t="shared" si="239"/>
        <v/>
      </c>
      <c r="DL317" s="37" t="str">
        <f t="shared" si="240"/>
        <v/>
      </c>
      <c r="DN317" s="32">
        <v>316</v>
      </c>
      <c r="DO317" s="34" t="s">
        <v>704</v>
      </c>
      <c r="DP317" s="38" t="str">
        <f t="shared" si="243"/>
        <v>Tournaments</v>
      </c>
      <c r="DQ317" s="173" t="str">
        <f t="shared" si="192"/>
        <v>(Stat) Tournaments</v>
      </c>
      <c r="DR317" s="36">
        <f t="shared" si="193"/>
        <v>316</v>
      </c>
      <c r="DV317" s="176">
        <f t="shared" si="190"/>
        <v>0</v>
      </c>
      <c r="DW317" s="243">
        <f>IF(COUNTIF('Char Sheet p1'!$AP$7:$AP$35,DQ317)=0,0,ROUNDDOWN(SUMIF('Char Sheet p1'!$AP$7:$AP$35,DQ317,'Char Sheet p1'!$AQ$7:$AQ$35)/10,0))</f>
        <v>0</v>
      </c>
      <c r="DX317" s="240">
        <f t="shared" si="194"/>
        <v>0</v>
      </c>
      <c r="DY317" s="36">
        <v>4</v>
      </c>
      <c r="DZ317" s="36" t="str">
        <f t="shared" si="191"/>
        <v/>
      </c>
      <c r="EE317" s="36">
        <f t="shared" si="244"/>
        <v>1</v>
      </c>
    </row>
    <row r="318" spans="33:135">
      <c r="AG318" s="69"/>
      <c r="AH318" s="70"/>
      <c r="AI318" s="70"/>
      <c r="AJ318" s="71"/>
      <c r="AK318" s="71"/>
      <c r="AL318" s="71"/>
      <c r="AM318" s="70"/>
      <c r="AN318" s="71">
        <f t="shared" si="242"/>
        <v>83</v>
      </c>
      <c r="AO318" s="72"/>
      <c r="AP318" s="135"/>
      <c r="AQ318" s="136"/>
      <c r="AR318" s="135"/>
      <c r="AS318" s="136"/>
      <c r="AT318" s="135"/>
      <c r="AU318" s="136"/>
      <c r="AV318" s="135"/>
      <c r="AW318" s="136"/>
      <c r="AX318" s="135"/>
      <c r="AY318" s="136"/>
      <c r="AZ318" s="135"/>
      <c r="BA318" s="136"/>
      <c r="BB318" s="135"/>
      <c r="BC318" s="136"/>
      <c r="BD318" s="135"/>
      <c r="BE318" s="136"/>
      <c r="BF318" s="135"/>
      <c r="BG318" s="136"/>
      <c r="BH318" s="135"/>
      <c r="BI318" s="136"/>
      <c r="BJ318" s="135"/>
      <c r="BK318" s="136"/>
      <c r="BL318" s="135"/>
      <c r="BM318" s="136"/>
      <c r="BN318" s="135"/>
      <c r="BO318" s="136"/>
      <c r="BP318" s="135"/>
      <c r="BQ318" s="136"/>
      <c r="BR318" s="135"/>
      <c r="BS318" s="136"/>
      <c r="BT318" s="135"/>
      <c r="BU318" s="136"/>
      <c r="BV318" s="135"/>
      <c r="BW318" s="136"/>
      <c r="BX318" s="135"/>
      <c r="BY318" s="136"/>
      <c r="BZ318" s="135"/>
      <c r="CA318" s="136"/>
      <c r="CB318" s="131"/>
      <c r="CC318" s="131"/>
      <c r="CD318" s="131"/>
      <c r="CE318" s="131"/>
      <c r="CF318" s="131"/>
      <c r="CG318" s="131"/>
      <c r="CH318" s="131"/>
      <c r="CI318" s="131"/>
      <c r="CJ318" s="131"/>
      <c r="CK318" s="78" t="str">
        <f>IF(OR($AM318=0,AND(COUNTIF(CL$319:CL$325,$AG318)&gt;0,$AJ318&lt;&gt;"y")),"",$AN318)</f>
        <v/>
      </c>
      <c r="CL318" s="49" t="str">
        <f t="shared" si="218"/>
        <v/>
      </c>
      <c r="CM318" s="78" t="str">
        <f>IF(OR($AM318=0,AND(COUNTIF(CN$319:CN$325,$AG318)&gt;0,$AJ318&lt;&gt;"y")),"",$AN318)</f>
        <v/>
      </c>
      <c r="CN318" s="49" t="str">
        <f t="shared" si="241"/>
        <v/>
      </c>
      <c r="CO318" s="78" t="str">
        <f>IF(OR($AM318=0,AND(COUNTIF(CP$319:CP$325,$AG318)&gt;0,$AJ318&lt;&gt;"y")),"",$AN318)</f>
        <v/>
      </c>
      <c r="CP318" s="49" t="str">
        <f t="shared" si="221"/>
        <v/>
      </c>
      <c r="CQ318" s="78" t="str">
        <f>IF(OR($AM318=0,AND(COUNTIF(CR$319:CR$325,$AG318)&gt;0,$AJ318&lt;&gt;"y")),"",$AN318)</f>
        <v/>
      </c>
      <c r="CR318" s="49" t="str">
        <f t="shared" si="223"/>
        <v/>
      </c>
      <c r="CS318" s="78" t="str">
        <f>IF(OR($AM318=0,AND(COUNTIF(CT$319:CT$325,$AG318)&gt;0,$AJ318&lt;&gt;"y")),"",$AN318)</f>
        <v/>
      </c>
      <c r="CT318" s="49" t="str">
        <f t="shared" si="225"/>
        <v/>
      </c>
      <c r="CU318" s="78" t="str">
        <f>IF(OR($AM318=0,AND(COUNTIF(CV$319:CV$325,$AG318)&gt;0,$AJ318&lt;&gt;"y")),"",$AN318)</f>
        <v/>
      </c>
      <c r="CV318" s="49" t="str">
        <f t="shared" si="227"/>
        <v/>
      </c>
      <c r="CW318" s="78" t="str">
        <f>IF(OR($AM318=0,AND(COUNTIF(CX$319:CX$325,$AG318)&gt;0,$AJ318&lt;&gt;"y")),"",$AN318)</f>
        <v/>
      </c>
      <c r="CX318" s="49" t="str">
        <f t="shared" si="229"/>
        <v/>
      </c>
      <c r="DA318" s="78" t="str">
        <f>IF(OR($AM318=0,AND(COUNTIF(DB$319:DB$331,$AG318)&gt;0,$AJ318&lt;&gt;"y")),"",$AN318)</f>
        <v/>
      </c>
      <c r="DB318" s="49" t="str">
        <f t="shared" si="231"/>
        <v/>
      </c>
      <c r="DC318" s="78" t="str">
        <f>IF(OR($AM318=0,AND(COUNTIF(DD$319:DD$331,$AG318)&gt;0,$AJ318&lt;&gt;"y")),"",$AN318)</f>
        <v/>
      </c>
      <c r="DD318" s="49" t="str">
        <f t="shared" si="232"/>
        <v/>
      </c>
      <c r="DE318" s="78" t="str">
        <f t="shared" si="233"/>
        <v/>
      </c>
      <c r="DF318" s="49" t="str">
        <f t="shared" si="234"/>
        <v/>
      </c>
      <c r="DG318" s="78" t="str">
        <f t="shared" si="235"/>
        <v/>
      </c>
      <c r="DH318" s="49" t="str">
        <f t="shared" si="236"/>
        <v/>
      </c>
      <c r="DI318" s="78" t="str">
        <f t="shared" si="237"/>
        <v/>
      </c>
      <c r="DJ318" s="49" t="str">
        <f t="shared" si="238"/>
        <v/>
      </c>
      <c r="DK318" s="78" t="str">
        <f t="shared" si="239"/>
        <v/>
      </c>
      <c r="DL318" s="49" t="str">
        <f t="shared" si="240"/>
        <v/>
      </c>
      <c r="DN318" s="32">
        <v>317</v>
      </c>
      <c r="DO318" s="34" t="s">
        <v>704</v>
      </c>
      <c r="DP318" s="38">
        <f t="shared" si="243"/>
        <v>0</v>
      </c>
      <c r="DQ318" s="173" t="str">
        <f t="shared" si="192"/>
        <v>(Stat) 0</v>
      </c>
      <c r="DR318" s="36" t="str">
        <f t="shared" si="193"/>
        <v/>
      </c>
      <c r="DV318" s="176">
        <f t="shared" si="190"/>
        <v>0</v>
      </c>
      <c r="DW318" s="243">
        <f>IF(COUNTIF('Char Sheet p1'!$AP$7:$AP$35,DQ318)=0,0,ROUNDDOWN(SUMIF('Char Sheet p1'!$AP$7:$AP$35,DQ318,'Char Sheet p1'!$AQ$7:$AQ$35)/10,0))</f>
        <v>0</v>
      </c>
      <c r="DX318" s="240">
        <f t="shared" si="194"/>
        <v>0</v>
      </c>
      <c r="DY318" s="36">
        <f>DY317+1</f>
        <v>5</v>
      </c>
      <c r="DZ318" s="36" t="str">
        <f t="shared" si="191"/>
        <v/>
      </c>
      <c r="EE318" s="36">
        <f t="shared" si="244"/>
        <v>1</v>
      </c>
    </row>
    <row r="319" spans="33:135">
      <c r="AO319" s="89">
        <f>IF(CharGen!B46="Flaw",CharGen!D46,0)</f>
        <v>0</v>
      </c>
      <c r="AP319" s="150">
        <f t="shared" ref="AP319:AP325" si="245">IF($AO319=0,0,VLOOKUP($AO319,$AG$236:$CJ$318,AP$227,FALSE))</f>
        <v>0</v>
      </c>
      <c r="AQ319" s="151">
        <f t="shared" ref="AQ319:BF325" si="246">IF($AO319=0,0,VLOOKUP($AO319,$AG$236:$CJ$318,AQ$227,FALSE))</f>
        <v>0</v>
      </c>
      <c r="AR319" s="150">
        <f t="shared" si="246"/>
        <v>0</v>
      </c>
      <c r="AS319" s="151">
        <f t="shared" si="246"/>
        <v>0</v>
      </c>
      <c r="AT319" s="150">
        <f t="shared" si="246"/>
        <v>0</v>
      </c>
      <c r="AU319" s="151">
        <f t="shared" si="246"/>
        <v>0</v>
      </c>
      <c r="AV319" s="150">
        <f t="shared" si="246"/>
        <v>0</v>
      </c>
      <c r="AW319" s="151">
        <f t="shared" si="246"/>
        <v>0</v>
      </c>
      <c r="AX319" s="150">
        <f t="shared" si="246"/>
        <v>0</v>
      </c>
      <c r="AY319" s="151">
        <f t="shared" si="246"/>
        <v>0</v>
      </c>
      <c r="AZ319" s="150">
        <f t="shared" si="246"/>
        <v>0</v>
      </c>
      <c r="BA319" s="151">
        <f t="shared" si="246"/>
        <v>0</v>
      </c>
      <c r="BB319" s="150">
        <f t="shared" si="246"/>
        <v>0</v>
      </c>
      <c r="BC319" s="151">
        <f t="shared" si="246"/>
        <v>0</v>
      </c>
      <c r="BD319" s="150">
        <f t="shared" si="246"/>
        <v>0</v>
      </c>
      <c r="BE319" s="151">
        <f t="shared" si="246"/>
        <v>0</v>
      </c>
      <c r="BF319" s="150">
        <f t="shared" si="246"/>
        <v>0</v>
      </c>
      <c r="BG319" s="151">
        <f t="shared" ref="BG319:BV325" si="247">IF($AO319=0,0,VLOOKUP($AO319,$AG$236:$CJ$318,BG$227,FALSE))</f>
        <v>0</v>
      </c>
      <c r="BH319" s="150">
        <f t="shared" si="247"/>
        <v>0</v>
      </c>
      <c r="BI319" s="151">
        <f t="shared" si="247"/>
        <v>0</v>
      </c>
      <c r="BJ319" s="150">
        <f t="shared" si="247"/>
        <v>0</v>
      </c>
      <c r="BK319" s="151">
        <f t="shared" si="247"/>
        <v>0</v>
      </c>
      <c r="BL319" s="150">
        <f t="shared" si="247"/>
        <v>0</v>
      </c>
      <c r="BM319" s="151">
        <f t="shared" si="247"/>
        <v>0</v>
      </c>
      <c r="BN319" s="150">
        <f t="shared" si="247"/>
        <v>0</v>
      </c>
      <c r="BO319" s="151">
        <f t="shared" si="247"/>
        <v>0</v>
      </c>
      <c r="BP319" s="150">
        <f t="shared" si="247"/>
        <v>0</v>
      </c>
      <c r="BQ319" s="151">
        <f t="shared" si="247"/>
        <v>0</v>
      </c>
      <c r="BR319" s="150">
        <f t="shared" si="247"/>
        <v>0</v>
      </c>
      <c r="BS319" s="151">
        <f t="shared" si="247"/>
        <v>0</v>
      </c>
      <c r="BT319" s="150">
        <f t="shared" si="247"/>
        <v>0</v>
      </c>
      <c r="BU319" s="151">
        <f t="shared" si="247"/>
        <v>0</v>
      </c>
      <c r="BV319" s="150">
        <f t="shared" si="247"/>
        <v>0</v>
      </c>
      <c r="BW319" s="151">
        <f t="shared" ref="BW319:CJ325" si="248">IF($AO319=0,0,VLOOKUP($AO319,$AG$236:$CJ$318,BW$227,FALSE))</f>
        <v>0</v>
      </c>
      <c r="BX319" s="150">
        <f t="shared" si="248"/>
        <v>0</v>
      </c>
      <c r="BY319" s="151">
        <f t="shared" si="248"/>
        <v>0</v>
      </c>
      <c r="BZ319" s="150">
        <f t="shared" si="248"/>
        <v>0</v>
      </c>
      <c r="CA319" s="151">
        <f t="shared" si="248"/>
        <v>0</v>
      </c>
      <c r="CB319" s="152">
        <f t="shared" si="248"/>
        <v>0</v>
      </c>
      <c r="CC319" s="152">
        <f t="shared" si="248"/>
        <v>0</v>
      </c>
      <c r="CD319" s="152">
        <f t="shared" si="248"/>
        <v>0</v>
      </c>
      <c r="CE319" s="152">
        <f t="shared" si="248"/>
        <v>0</v>
      </c>
      <c r="CF319" s="152">
        <f t="shared" si="248"/>
        <v>0</v>
      </c>
      <c r="CG319" s="152">
        <f t="shared" si="248"/>
        <v>0</v>
      </c>
      <c r="CH319" s="152">
        <f t="shared" si="248"/>
        <v>0</v>
      </c>
      <c r="CI319" s="152">
        <f t="shared" si="248"/>
        <v>0</v>
      </c>
      <c r="CJ319" s="151">
        <f t="shared" si="248"/>
        <v>0</v>
      </c>
      <c r="CK319" s="16" t="s">
        <v>261</v>
      </c>
      <c r="CL319" s="89"/>
      <c r="CM319" s="16" t="s">
        <v>261</v>
      </c>
      <c r="CN319" s="89">
        <f>CharGen!$D$42</f>
        <v>0</v>
      </c>
      <c r="CO319" s="16" t="s">
        <v>261</v>
      </c>
      <c r="CP319" s="89">
        <f>CharGen!$D$42</f>
        <v>0</v>
      </c>
      <c r="CQ319" s="16" t="s">
        <v>261</v>
      </c>
      <c r="CR319" s="89">
        <f>CharGen!$D$42</f>
        <v>0</v>
      </c>
      <c r="CS319" s="86"/>
      <c r="CT319" s="89">
        <f>CharGen!$D$42</f>
        <v>0</v>
      </c>
      <c r="CU319" s="86"/>
      <c r="CV319" s="89">
        <f>CharGen!$D$42</f>
        <v>0</v>
      </c>
      <c r="CW319" s="86"/>
      <c r="CX319" s="89">
        <f>CharGen!$D$42</f>
        <v>0</v>
      </c>
      <c r="CY319" s="86"/>
      <c r="CZ319" s="86"/>
      <c r="DA319" s="86"/>
      <c r="DB319" s="89">
        <f>CharGen!$D$42</f>
        <v>0</v>
      </c>
      <c r="DC319" s="86"/>
      <c r="DD319" s="89">
        <f>CharGen!$D$42</f>
        <v>0</v>
      </c>
      <c r="DF319" s="89">
        <f>CharGen!$D$42</f>
        <v>0</v>
      </c>
      <c r="DH319" s="89">
        <f>CharGen!$D$42</f>
        <v>0</v>
      </c>
      <c r="DJ319" s="89">
        <f>CharGen!$D$42</f>
        <v>0</v>
      </c>
      <c r="DL319" s="89">
        <f>CharGen!$D$42</f>
        <v>0</v>
      </c>
      <c r="DN319" s="32">
        <v>318</v>
      </c>
      <c r="DO319" s="34" t="s">
        <v>704</v>
      </c>
      <c r="DP319" s="38">
        <f t="shared" si="243"/>
        <v>0</v>
      </c>
      <c r="DQ319" s="173" t="str">
        <f t="shared" si="192"/>
        <v>(Stat) 0</v>
      </c>
      <c r="DR319" s="36" t="str">
        <f t="shared" si="193"/>
        <v/>
      </c>
      <c r="DV319" s="176">
        <f t="shared" si="190"/>
        <v>0</v>
      </c>
      <c r="DW319" s="243">
        <f>IF(COUNTIF('Char Sheet p1'!$AP$7:$AP$35,DQ319)=0,0,ROUNDDOWN(SUMIF('Char Sheet p1'!$AP$7:$AP$35,DQ319,'Char Sheet p1'!$AQ$7:$AQ$35)/10,0))</f>
        <v>0</v>
      </c>
      <c r="DX319" s="240">
        <f t="shared" si="194"/>
        <v>0</v>
      </c>
      <c r="DY319" s="36">
        <f t="shared" ref="DY319:DY339" si="249">DY318+1</f>
        <v>6</v>
      </c>
      <c r="DZ319" s="36" t="str">
        <f t="shared" si="191"/>
        <v/>
      </c>
      <c r="EE319" s="36">
        <f t="shared" si="244"/>
        <v>1</v>
      </c>
    </row>
    <row r="320" spans="33:135">
      <c r="AO320" s="52">
        <f>IF(CharGen!B48="Flaw",CharGen!D48,0)</f>
        <v>0</v>
      </c>
      <c r="AP320" s="153">
        <f t="shared" si="245"/>
        <v>0</v>
      </c>
      <c r="AQ320" s="154">
        <f t="shared" si="246"/>
        <v>0</v>
      </c>
      <c r="AR320" s="153">
        <f t="shared" si="246"/>
        <v>0</v>
      </c>
      <c r="AS320" s="154">
        <f t="shared" si="246"/>
        <v>0</v>
      </c>
      <c r="AT320" s="153">
        <f t="shared" si="246"/>
        <v>0</v>
      </c>
      <c r="AU320" s="154">
        <f t="shared" si="246"/>
        <v>0</v>
      </c>
      <c r="AV320" s="153">
        <f t="shared" si="246"/>
        <v>0</v>
      </c>
      <c r="AW320" s="154">
        <f t="shared" si="246"/>
        <v>0</v>
      </c>
      <c r="AX320" s="153">
        <f t="shared" si="246"/>
        <v>0</v>
      </c>
      <c r="AY320" s="154">
        <f t="shared" si="246"/>
        <v>0</v>
      </c>
      <c r="AZ320" s="153">
        <f t="shared" si="246"/>
        <v>0</v>
      </c>
      <c r="BA320" s="154">
        <f t="shared" si="246"/>
        <v>0</v>
      </c>
      <c r="BB320" s="153">
        <f t="shared" si="246"/>
        <v>0</v>
      </c>
      <c r="BC320" s="154">
        <f t="shared" si="246"/>
        <v>0</v>
      </c>
      <c r="BD320" s="153">
        <f t="shared" si="246"/>
        <v>0</v>
      </c>
      <c r="BE320" s="154">
        <f t="shared" si="246"/>
        <v>0</v>
      </c>
      <c r="BF320" s="153">
        <f t="shared" si="246"/>
        <v>0</v>
      </c>
      <c r="BG320" s="154">
        <f t="shared" si="247"/>
        <v>0</v>
      </c>
      <c r="BH320" s="153">
        <f t="shared" si="247"/>
        <v>0</v>
      </c>
      <c r="BI320" s="154">
        <f t="shared" si="247"/>
        <v>0</v>
      </c>
      <c r="BJ320" s="153">
        <f t="shared" si="247"/>
        <v>0</v>
      </c>
      <c r="BK320" s="154">
        <f t="shared" si="247"/>
        <v>0</v>
      </c>
      <c r="BL320" s="153">
        <f t="shared" si="247"/>
        <v>0</v>
      </c>
      <c r="BM320" s="154">
        <f t="shared" si="247"/>
        <v>0</v>
      </c>
      <c r="BN320" s="153">
        <f t="shared" si="247"/>
        <v>0</v>
      </c>
      <c r="BO320" s="154">
        <f t="shared" si="247"/>
        <v>0</v>
      </c>
      <c r="BP320" s="153">
        <f t="shared" si="247"/>
        <v>0</v>
      </c>
      <c r="BQ320" s="154">
        <f t="shared" si="247"/>
        <v>0</v>
      </c>
      <c r="BR320" s="153">
        <f t="shared" si="247"/>
        <v>0</v>
      </c>
      <c r="BS320" s="154">
        <f t="shared" si="247"/>
        <v>0</v>
      </c>
      <c r="BT320" s="153">
        <f t="shared" si="247"/>
        <v>0</v>
      </c>
      <c r="BU320" s="154">
        <f t="shared" si="247"/>
        <v>0</v>
      </c>
      <c r="BV320" s="153">
        <f t="shared" si="247"/>
        <v>0</v>
      </c>
      <c r="BW320" s="154">
        <f t="shared" si="248"/>
        <v>0</v>
      </c>
      <c r="BX320" s="153">
        <f t="shared" si="248"/>
        <v>0</v>
      </c>
      <c r="BY320" s="154">
        <f t="shared" si="248"/>
        <v>0</v>
      </c>
      <c r="BZ320" s="153">
        <f t="shared" si="248"/>
        <v>0</v>
      </c>
      <c r="CA320" s="154">
        <f t="shared" si="248"/>
        <v>0</v>
      </c>
      <c r="CB320" s="155">
        <f t="shared" si="248"/>
        <v>0</v>
      </c>
      <c r="CC320" s="155">
        <f t="shared" si="248"/>
        <v>0</v>
      </c>
      <c r="CD320" s="155">
        <f t="shared" si="248"/>
        <v>0</v>
      </c>
      <c r="CE320" s="155">
        <f t="shared" si="248"/>
        <v>0</v>
      </c>
      <c r="CF320" s="155">
        <f t="shared" si="248"/>
        <v>0</v>
      </c>
      <c r="CG320" s="155">
        <f t="shared" si="248"/>
        <v>0</v>
      </c>
      <c r="CH320" s="155">
        <f t="shared" si="248"/>
        <v>0</v>
      </c>
      <c r="CI320" s="155">
        <f t="shared" si="248"/>
        <v>0</v>
      </c>
      <c r="CJ320" s="154">
        <f t="shared" si="248"/>
        <v>0</v>
      </c>
      <c r="CL320" s="52">
        <f>CharGen!$D$43</f>
        <v>0</v>
      </c>
      <c r="CN320" s="52"/>
      <c r="CP320" s="52">
        <f>CharGen!$D$43</f>
        <v>0</v>
      </c>
      <c r="CR320" s="52">
        <f>CharGen!$D$43</f>
        <v>0</v>
      </c>
      <c r="CS320" s="86"/>
      <c r="CT320" s="52">
        <f>CharGen!$D$43</f>
        <v>0</v>
      </c>
      <c r="CU320" s="86"/>
      <c r="CV320" s="52">
        <f>CharGen!$D$43</f>
        <v>0</v>
      </c>
      <c r="CW320" s="86"/>
      <c r="CX320" s="52">
        <f>CharGen!$D$43</f>
        <v>0</v>
      </c>
      <c r="CY320" s="86"/>
      <c r="CZ320" s="86"/>
      <c r="DA320" s="86"/>
      <c r="DB320" s="52">
        <f>CharGen!$D$43</f>
        <v>0</v>
      </c>
      <c r="DC320" s="86"/>
      <c r="DD320" s="52">
        <f>CharGen!$D$43</f>
        <v>0</v>
      </c>
      <c r="DF320" s="52">
        <f>CharGen!$D$43</f>
        <v>0</v>
      </c>
      <c r="DH320" s="52">
        <f>CharGen!$D$43</f>
        <v>0</v>
      </c>
      <c r="DJ320" s="52">
        <f>CharGen!$D$43</f>
        <v>0</v>
      </c>
      <c r="DL320" s="52">
        <f>CharGen!$D$43</f>
        <v>0</v>
      </c>
      <c r="DN320" s="32">
        <v>319</v>
      </c>
      <c r="DO320" s="34" t="s">
        <v>704</v>
      </c>
      <c r="DP320" s="38">
        <f t="shared" si="243"/>
        <v>0</v>
      </c>
      <c r="DQ320" s="173" t="str">
        <f t="shared" si="192"/>
        <v>(Stat) 0</v>
      </c>
      <c r="DR320" s="36" t="str">
        <f t="shared" si="193"/>
        <v/>
      </c>
      <c r="DV320" s="176">
        <f t="shared" si="190"/>
        <v>0</v>
      </c>
      <c r="DW320" s="243">
        <f>IF(COUNTIF('Char Sheet p1'!$AP$7:$AP$35,DQ320)=0,0,ROUNDDOWN(SUMIF('Char Sheet p1'!$AP$7:$AP$35,DQ320,'Char Sheet p1'!$AQ$7:$AQ$35)/10,0))</f>
        <v>0</v>
      </c>
      <c r="DX320" s="240">
        <f t="shared" si="194"/>
        <v>0</v>
      </c>
      <c r="DY320" s="36">
        <f t="shared" si="249"/>
        <v>7</v>
      </c>
      <c r="DZ320" s="36" t="str">
        <f t="shared" si="191"/>
        <v/>
      </c>
      <c r="EE320" s="36">
        <f t="shared" si="244"/>
        <v>1</v>
      </c>
    </row>
    <row r="321" spans="41:135">
      <c r="AO321" s="52">
        <f>IF(CharGen!B49="Flaw",CharGen!D49,0)</f>
        <v>0</v>
      </c>
      <c r="AP321" s="153">
        <f t="shared" si="245"/>
        <v>0</v>
      </c>
      <c r="AQ321" s="154">
        <f t="shared" si="246"/>
        <v>0</v>
      </c>
      <c r="AR321" s="153">
        <f t="shared" si="246"/>
        <v>0</v>
      </c>
      <c r="AS321" s="154">
        <f t="shared" si="246"/>
        <v>0</v>
      </c>
      <c r="AT321" s="153">
        <f t="shared" si="246"/>
        <v>0</v>
      </c>
      <c r="AU321" s="154">
        <f t="shared" si="246"/>
        <v>0</v>
      </c>
      <c r="AV321" s="153">
        <f t="shared" si="246"/>
        <v>0</v>
      </c>
      <c r="AW321" s="154">
        <f t="shared" si="246"/>
        <v>0</v>
      </c>
      <c r="AX321" s="153">
        <f t="shared" si="246"/>
        <v>0</v>
      </c>
      <c r="AY321" s="154">
        <f t="shared" si="246"/>
        <v>0</v>
      </c>
      <c r="AZ321" s="153">
        <f t="shared" si="246"/>
        <v>0</v>
      </c>
      <c r="BA321" s="154">
        <f t="shared" si="246"/>
        <v>0</v>
      </c>
      <c r="BB321" s="153">
        <f t="shared" si="246"/>
        <v>0</v>
      </c>
      <c r="BC321" s="154">
        <f t="shared" si="246"/>
        <v>0</v>
      </c>
      <c r="BD321" s="153">
        <f t="shared" si="246"/>
        <v>0</v>
      </c>
      <c r="BE321" s="154">
        <f t="shared" si="246"/>
        <v>0</v>
      </c>
      <c r="BF321" s="153">
        <f t="shared" si="246"/>
        <v>0</v>
      </c>
      <c r="BG321" s="154">
        <f t="shared" si="247"/>
        <v>0</v>
      </c>
      <c r="BH321" s="153">
        <f t="shared" si="247"/>
        <v>0</v>
      </c>
      <c r="BI321" s="154">
        <f t="shared" si="247"/>
        <v>0</v>
      </c>
      <c r="BJ321" s="153">
        <f t="shared" si="247"/>
        <v>0</v>
      </c>
      <c r="BK321" s="154">
        <f t="shared" si="247"/>
        <v>0</v>
      </c>
      <c r="BL321" s="153">
        <f t="shared" si="247"/>
        <v>0</v>
      </c>
      <c r="BM321" s="154">
        <f t="shared" si="247"/>
        <v>0</v>
      </c>
      <c r="BN321" s="153">
        <f t="shared" si="247"/>
        <v>0</v>
      </c>
      <c r="BO321" s="154">
        <f t="shared" si="247"/>
        <v>0</v>
      </c>
      <c r="BP321" s="153">
        <f t="shared" si="247"/>
        <v>0</v>
      </c>
      <c r="BQ321" s="154">
        <f t="shared" si="247"/>
        <v>0</v>
      </c>
      <c r="BR321" s="153">
        <f t="shared" si="247"/>
        <v>0</v>
      </c>
      <c r="BS321" s="154">
        <f t="shared" si="247"/>
        <v>0</v>
      </c>
      <c r="BT321" s="153">
        <f t="shared" si="247"/>
        <v>0</v>
      </c>
      <c r="BU321" s="154">
        <f t="shared" si="247"/>
        <v>0</v>
      </c>
      <c r="BV321" s="153">
        <f t="shared" si="247"/>
        <v>0</v>
      </c>
      <c r="BW321" s="154">
        <f t="shared" si="248"/>
        <v>0</v>
      </c>
      <c r="BX321" s="153">
        <f t="shared" si="248"/>
        <v>0</v>
      </c>
      <c r="BY321" s="154">
        <f t="shared" si="248"/>
        <v>0</v>
      </c>
      <c r="BZ321" s="153">
        <f t="shared" si="248"/>
        <v>0</v>
      </c>
      <c r="CA321" s="154">
        <f t="shared" si="248"/>
        <v>0</v>
      </c>
      <c r="CB321" s="155">
        <f t="shared" si="248"/>
        <v>0</v>
      </c>
      <c r="CC321" s="155">
        <f t="shared" si="248"/>
        <v>0</v>
      </c>
      <c r="CD321" s="155">
        <f t="shared" si="248"/>
        <v>0</v>
      </c>
      <c r="CE321" s="155">
        <f t="shared" si="248"/>
        <v>0</v>
      </c>
      <c r="CF321" s="155">
        <f t="shared" si="248"/>
        <v>0</v>
      </c>
      <c r="CG321" s="155">
        <f t="shared" si="248"/>
        <v>0</v>
      </c>
      <c r="CH321" s="155">
        <f t="shared" si="248"/>
        <v>0</v>
      </c>
      <c r="CI321" s="155">
        <f t="shared" si="248"/>
        <v>0</v>
      </c>
      <c r="CJ321" s="154">
        <f t="shared" si="248"/>
        <v>0</v>
      </c>
      <c r="CL321" s="52">
        <f>CharGen!$D$44</f>
        <v>0</v>
      </c>
      <c r="CN321" s="52">
        <f>CharGen!$D$44</f>
        <v>0</v>
      </c>
      <c r="CP321" s="52"/>
      <c r="CR321" s="52">
        <f>CharGen!$D$44</f>
        <v>0</v>
      </c>
      <c r="CS321" s="86"/>
      <c r="CT321" s="52">
        <f>CharGen!$D$44</f>
        <v>0</v>
      </c>
      <c r="CU321" s="86"/>
      <c r="CV321" s="52">
        <f>CharGen!$D$44</f>
        <v>0</v>
      </c>
      <c r="CW321" s="86"/>
      <c r="CX321" s="52">
        <f>CharGen!$D$44</f>
        <v>0</v>
      </c>
      <c r="CY321" s="86"/>
      <c r="CZ321" s="86"/>
      <c r="DA321" s="86"/>
      <c r="DB321" s="52">
        <f>CharGen!$D$44</f>
        <v>0</v>
      </c>
      <c r="DC321" s="86"/>
      <c r="DD321" s="52">
        <f>CharGen!$D$44</f>
        <v>0</v>
      </c>
      <c r="DF321" s="52">
        <f>CharGen!$D$44</f>
        <v>0</v>
      </c>
      <c r="DH321" s="52">
        <f>CharGen!$D$44</f>
        <v>0</v>
      </c>
      <c r="DJ321" s="52">
        <f>CharGen!$D$44</f>
        <v>0</v>
      </c>
      <c r="DL321" s="52">
        <f>CharGen!$D$44</f>
        <v>0</v>
      </c>
      <c r="DN321" s="32">
        <v>320</v>
      </c>
      <c r="DO321" s="34" t="s">
        <v>704</v>
      </c>
      <c r="DP321" s="38">
        <f t="shared" si="243"/>
        <v>0</v>
      </c>
      <c r="DQ321" s="173" t="str">
        <f t="shared" si="192"/>
        <v>(Stat) 0</v>
      </c>
      <c r="DR321" s="36" t="str">
        <f t="shared" si="193"/>
        <v/>
      </c>
      <c r="DV321" s="176">
        <f t="shared" si="190"/>
        <v>0</v>
      </c>
      <c r="DW321" s="243">
        <f>IF(COUNTIF('Char Sheet p1'!$AP$7:$AP$35,DQ321)=0,0,ROUNDDOWN(SUMIF('Char Sheet p1'!$AP$7:$AP$35,DQ321,'Char Sheet p1'!$AQ$7:$AQ$35)/10,0))</f>
        <v>0</v>
      </c>
      <c r="DX321" s="240">
        <f t="shared" si="194"/>
        <v>0</v>
      </c>
      <c r="DY321" s="36">
        <f t="shared" si="249"/>
        <v>8</v>
      </c>
      <c r="DZ321" s="36" t="str">
        <f t="shared" si="191"/>
        <v/>
      </c>
      <c r="EE321" s="36">
        <f t="shared" si="244"/>
        <v>1</v>
      </c>
    </row>
    <row r="322" spans="41:135">
      <c r="AO322" s="52">
        <f>CharGen!D42</f>
        <v>0</v>
      </c>
      <c r="AP322" s="153">
        <f t="shared" si="245"/>
        <v>0</v>
      </c>
      <c r="AQ322" s="154">
        <f t="shared" si="246"/>
        <v>0</v>
      </c>
      <c r="AR322" s="153">
        <f t="shared" si="246"/>
        <v>0</v>
      </c>
      <c r="AS322" s="154">
        <f t="shared" si="246"/>
        <v>0</v>
      </c>
      <c r="AT322" s="153">
        <f t="shared" si="246"/>
        <v>0</v>
      </c>
      <c r="AU322" s="154">
        <f t="shared" si="246"/>
        <v>0</v>
      </c>
      <c r="AV322" s="153">
        <f t="shared" si="246"/>
        <v>0</v>
      </c>
      <c r="AW322" s="154">
        <f t="shared" si="246"/>
        <v>0</v>
      </c>
      <c r="AX322" s="153">
        <f t="shared" si="246"/>
        <v>0</v>
      </c>
      <c r="AY322" s="154">
        <f t="shared" si="246"/>
        <v>0</v>
      </c>
      <c r="AZ322" s="153">
        <f t="shared" si="246"/>
        <v>0</v>
      </c>
      <c r="BA322" s="154">
        <f t="shared" si="246"/>
        <v>0</v>
      </c>
      <c r="BB322" s="153">
        <f t="shared" si="246"/>
        <v>0</v>
      </c>
      <c r="BC322" s="154">
        <f t="shared" si="246"/>
        <v>0</v>
      </c>
      <c r="BD322" s="153">
        <f t="shared" si="246"/>
        <v>0</v>
      </c>
      <c r="BE322" s="154">
        <f t="shared" si="246"/>
        <v>0</v>
      </c>
      <c r="BF322" s="153">
        <f t="shared" si="246"/>
        <v>0</v>
      </c>
      <c r="BG322" s="154">
        <f t="shared" si="247"/>
        <v>0</v>
      </c>
      <c r="BH322" s="153">
        <f t="shared" si="247"/>
        <v>0</v>
      </c>
      <c r="BI322" s="154">
        <f t="shared" si="247"/>
        <v>0</v>
      </c>
      <c r="BJ322" s="153">
        <f t="shared" si="247"/>
        <v>0</v>
      </c>
      <c r="BK322" s="154">
        <f t="shared" si="247"/>
        <v>0</v>
      </c>
      <c r="BL322" s="153">
        <f t="shared" si="247"/>
        <v>0</v>
      </c>
      <c r="BM322" s="154">
        <f t="shared" si="247"/>
        <v>0</v>
      </c>
      <c r="BN322" s="153">
        <f t="shared" si="247"/>
        <v>0</v>
      </c>
      <c r="BO322" s="154">
        <f t="shared" si="247"/>
        <v>0</v>
      </c>
      <c r="BP322" s="153">
        <f t="shared" si="247"/>
        <v>0</v>
      </c>
      <c r="BQ322" s="154">
        <f t="shared" si="247"/>
        <v>0</v>
      </c>
      <c r="BR322" s="153">
        <f t="shared" si="247"/>
        <v>0</v>
      </c>
      <c r="BS322" s="154">
        <f t="shared" si="247"/>
        <v>0</v>
      </c>
      <c r="BT322" s="153">
        <f t="shared" si="247"/>
        <v>0</v>
      </c>
      <c r="BU322" s="154">
        <f t="shared" si="247"/>
        <v>0</v>
      </c>
      <c r="BV322" s="153">
        <f t="shared" si="247"/>
        <v>0</v>
      </c>
      <c r="BW322" s="154">
        <f t="shared" si="248"/>
        <v>0</v>
      </c>
      <c r="BX322" s="153">
        <f t="shared" si="248"/>
        <v>0</v>
      </c>
      <c r="BY322" s="154">
        <f t="shared" si="248"/>
        <v>0</v>
      </c>
      <c r="BZ322" s="153">
        <f t="shared" si="248"/>
        <v>0</v>
      </c>
      <c r="CA322" s="154">
        <f t="shared" si="248"/>
        <v>0</v>
      </c>
      <c r="CB322" s="155">
        <f t="shared" si="248"/>
        <v>0</v>
      </c>
      <c r="CC322" s="155">
        <f t="shared" si="248"/>
        <v>0</v>
      </c>
      <c r="CD322" s="155">
        <f t="shared" si="248"/>
        <v>0</v>
      </c>
      <c r="CE322" s="155">
        <f t="shared" si="248"/>
        <v>0</v>
      </c>
      <c r="CF322" s="155">
        <f t="shared" si="248"/>
        <v>0</v>
      </c>
      <c r="CG322" s="155">
        <f t="shared" si="248"/>
        <v>0</v>
      </c>
      <c r="CH322" s="155">
        <f t="shared" si="248"/>
        <v>0</v>
      </c>
      <c r="CI322" s="155">
        <f t="shared" si="248"/>
        <v>0</v>
      </c>
      <c r="CJ322" s="154">
        <f t="shared" si="248"/>
        <v>0</v>
      </c>
      <c r="CL322" s="74">
        <f>CharGen!$D$45</f>
        <v>0</v>
      </c>
      <c r="CN322" s="74">
        <f>CharGen!$D$45</f>
        <v>0</v>
      </c>
      <c r="CP322" s="74">
        <f>CharGen!$D$45</f>
        <v>0</v>
      </c>
      <c r="CR322" s="74"/>
      <c r="CS322" s="86"/>
      <c r="CT322" s="74">
        <f>CharGen!$D$45</f>
        <v>0</v>
      </c>
      <c r="CU322" s="86"/>
      <c r="CV322" s="74">
        <f>CharGen!$D$45</f>
        <v>0</v>
      </c>
      <c r="CW322" s="86"/>
      <c r="CX322" s="74">
        <f>CharGen!$D$45</f>
        <v>0</v>
      </c>
      <c r="CY322" s="86"/>
      <c r="CZ322" s="86"/>
      <c r="DA322" s="86"/>
      <c r="DB322" s="74">
        <f>CharGen!$D$45</f>
        <v>0</v>
      </c>
      <c r="DC322" s="86"/>
      <c r="DD322" s="74">
        <f>CharGen!$D$45</f>
        <v>0</v>
      </c>
      <c r="DF322" s="74">
        <f>CharGen!$D$45</f>
        <v>0</v>
      </c>
      <c r="DH322" s="74">
        <f>CharGen!$D$45</f>
        <v>0</v>
      </c>
      <c r="DJ322" s="74">
        <f>CharGen!$D$45</f>
        <v>0</v>
      </c>
      <c r="DL322" s="74">
        <f>CharGen!$D$45</f>
        <v>0</v>
      </c>
      <c r="DN322" s="32">
        <v>321</v>
      </c>
      <c r="DO322" s="34" t="s">
        <v>704</v>
      </c>
      <c r="DP322" s="38">
        <f t="shared" si="243"/>
        <v>0</v>
      </c>
      <c r="DQ322" s="173" t="str">
        <f t="shared" si="192"/>
        <v>(Stat) 0</v>
      </c>
      <c r="DR322" s="36" t="str">
        <f t="shared" si="193"/>
        <v/>
      </c>
      <c r="DV322" s="176">
        <f t="shared" ref="DV322:DV385" si="250">IF(DP322=0,0,SUMIF($DT$2:$DT$58,DP322,$DU$2:$DU$58))</f>
        <v>0</v>
      </c>
      <c r="DW322" s="243">
        <f>IF(COUNTIF('Char Sheet p1'!$AP$7:$AP$35,DQ322)=0,0,ROUNDDOWN(SUMIF('Char Sheet p1'!$AP$7:$AP$35,DQ322,'Char Sheet p1'!$AQ$7:$AQ$35)/10,0))</f>
        <v>0</v>
      </c>
      <c r="DX322" s="240">
        <f t="shared" si="194"/>
        <v>0</v>
      </c>
      <c r="DY322" s="36">
        <f t="shared" si="249"/>
        <v>9</v>
      </c>
      <c r="DZ322" s="36" t="str">
        <f t="shared" ref="DZ322:DZ385" si="251">IF(DX322=0,"",IF(endchargen=0,"",DY322))</f>
        <v/>
      </c>
      <c r="EE322" s="36">
        <f t="shared" si="244"/>
        <v>1</v>
      </c>
    </row>
    <row r="323" spans="41:135">
      <c r="AO323" s="52">
        <f>CharGen!D43</f>
        <v>0</v>
      </c>
      <c r="AP323" s="153">
        <f t="shared" si="245"/>
        <v>0</v>
      </c>
      <c r="AQ323" s="154">
        <f t="shared" si="246"/>
        <v>0</v>
      </c>
      <c r="AR323" s="153">
        <f t="shared" si="246"/>
        <v>0</v>
      </c>
      <c r="AS323" s="154">
        <f t="shared" si="246"/>
        <v>0</v>
      </c>
      <c r="AT323" s="153">
        <f t="shared" si="246"/>
        <v>0</v>
      </c>
      <c r="AU323" s="154">
        <f t="shared" si="246"/>
        <v>0</v>
      </c>
      <c r="AV323" s="153">
        <f t="shared" si="246"/>
        <v>0</v>
      </c>
      <c r="AW323" s="154">
        <f t="shared" si="246"/>
        <v>0</v>
      </c>
      <c r="AX323" s="153">
        <f t="shared" si="246"/>
        <v>0</v>
      </c>
      <c r="AY323" s="154">
        <f t="shared" si="246"/>
        <v>0</v>
      </c>
      <c r="AZ323" s="153">
        <f t="shared" si="246"/>
        <v>0</v>
      </c>
      <c r="BA323" s="154">
        <f t="shared" si="246"/>
        <v>0</v>
      </c>
      <c r="BB323" s="153">
        <f t="shared" si="246"/>
        <v>0</v>
      </c>
      <c r="BC323" s="154">
        <f t="shared" si="246"/>
        <v>0</v>
      </c>
      <c r="BD323" s="153">
        <f t="shared" si="246"/>
        <v>0</v>
      </c>
      <c r="BE323" s="154">
        <f t="shared" si="246"/>
        <v>0</v>
      </c>
      <c r="BF323" s="153">
        <f t="shared" si="246"/>
        <v>0</v>
      </c>
      <c r="BG323" s="154">
        <f t="shared" si="247"/>
        <v>0</v>
      </c>
      <c r="BH323" s="153">
        <f t="shared" si="247"/>
        <v>0</v>
      </c>
      <c r="BI323" s="154">
        <f t="shared" si="247"/>
        <v>0</v>
      </c>
      <c r="BJ323" s="153">
        <f t="shared" si="247"/>
        <v>0</v>
      </c>
      <c r="BK323" s="154">
        <f t="shared" si="247"/>
        <v>0</v>
      </c>
      <c r="BL323" s="153">
        <f t="shared" si="247"/>
        <v>0</v>
      </c>
      <c r="BM323" s="154">
        <f t="shared" si="247"/>
        <v>0</v>
      </c>
      <c r="BN323" s="153">
        <f t="shared" si="247"/>
        <v>0</v>
      </c>
      <c r="BO323" s="154">
        <f t="shared" si="247"/>
        <v>0</v>
      </c>
      <c r="BP323" s="153">
        <f t="shared" si="247"/>
        <v>0</v>
      </c>
      <c r="BQ323" s="154">
        <f t="shared" si="247"/>
        <v>0</v>
      </c>
      <c r="BR323" s="153">
        <f t="shared" si="247"/>
        <v>0</v>
      </c>
      <c r="BS323" s="154">
        <f t="shared" si="247"/>
        <v>0</v>
      </c>
      <c r="BT323" s="153">
        <f t="shared" si="247"/>
        <v>0</v>
      </c>
      <c r="BU323" s="154">
        <f t="shared" si="247"/>
        <v>0</v>
      </c>
      <c r="BV323" s="153">
        <f t="shared" si="247"/>
        <v>0</v>
      </c>
      <c r="BW323" s="154">
        <f t="shared" si="248"/>
        <v>0</v>
      </c>
      <c r="BX323" s="153">
        <f t="shared" si="248"/>
        <v>0</v>
      </c>
      <c r="BY323" s="154">
        <f t="shared" si="248"/>
        <v>0</v>
      </c>
      <c r="BZ323" s="153">
        <f t="shared" si="248"/>
        <v>0</v>
      </c>
      <c r="CA323" s="154">
        <f t="shared" si="248"/>
        <v>0</v>
      </c>
      <c r="CB323" s="155">
        <f t="shared" si="248"/>
        <v>0</v>
      </c>
      <c r="CC323" s="155">
        <f t="shared" si="248"/>
        <v>0</v>
      </c>
      <c r="CD323" s="155">
        <f t="shared" si="248"/>
        <v>0</v>
      </c>
      <c r="CE323" s="155">
        <f t="shared" si="248"/>
        <v>0</v>
      </c>
      <c r="CF323" s="155">
        <f t="shared" si="248"/>
        <v>0</v>
      </c>
      <c r="CG323" s="155">
        <f t="shared" si="248"/>
        <v>0</v>
      </c>
      <c r="CH323" s="155">
        <f t="shared" si="248"/>
        <v>0</v>
      </c>
      <c r="CI323" s="155">
        <f t="shared" si="248"/>
        <v>0</v>
      </c>
      <c r="CJ323" s="154">
        <f t="shared" si="248"/>
        <v>0</v>
      </c>
      <c r="CL323" s="89">
        <f>CharGen!$D$46</f>
        <v>0</v>
      </c>
      <c r="CN323" s="89">
        <f>CharGen!$D$46</f>
        <v>0</v>
      </c>
      <c r="CP323" s="89">
        <f>CharGen!$D$46</f>
        <v>0</v>
      </c>
      <c r="CR323" s="89">
        <f>CharGen!$D$46</f>
        <v>0</v>
      </c>
      <c r="CS323" s="86"/>
      <c r="CT323" s="89"/>
      <c r="CU323" s="86"/>
      <c r="CV323" s="89">
        <f>CharGen!$D$46</f>
        <v>0</v>
      </c>
      <c r="CW323" s="86"/>
      <c r="CX323" s="89">
        <f>CharGen!$D$46</f>
        <v>0</v>
      </c>
      <c r="CY323" s="86"/>
      <c r="CZ323" s="86"/>
      <c r="DA323" s="86"/>
      <c r="DB323" s="89">
        <f>CharGen!$D$46</f>
        <v>0</v>
      </c>
      <c r="DC323" s="86"/>
      <c r="DD323" s="89">
        <f>CharGen!$D$46</f>
        <v>0</v>
      </c>
      <c r="DF323" s="89">
        <f>CharGen!$D$46</f>
        <v>0</v>
      </c>
      <c r="DH323" s="89">
        <f>CharGen!$D$46</f>
        <v>0</v>
      </c>
      <c r="DJ323" s="89">
        <f>CharGen!$D$46</f>
        <v>0</v>
      </c>
      <c r="DL323" s="89">
        <f>CharGen!$D$46</f>
        <v>0</v>
      </c>
      <c r="DN323" s="32">
        <v>322</v>
      </c>
      <c r="DO323" s="34" t="s">
        <v>704</v>
      </c>
      <c r="DP323" s="38">
        <f t="shared" si="243"/>
        <v>0</v>
      </c>
      <c r="DQ323" s="173" t="str">
        <f t="shared" ref="DQ323:DQ386" si="252">"("&amp;LEFT(DO323,4)&amp;") "&amp;DP323</f>
        <v>(Stat) 0</v>
      </c>
      <c r="DR323" s="36" t="str">
        <f t="shared" ref="DR323:DR386" si="253">IF(DP323=0,"",DN323)</f>
        <v/>
      </c>
      <c r="DV323" s="176">
        <f t="shared" si="250"/>
        <v>0</v>
      </c>
      <c r="DW323" s="243">
        <f>IF(COUNTIF('Char Sheet p1'!$AP$7:$AP$35,DQ323)=0,0,ROUNDDOWN(SUMIF('Char Sheet p1'!$AP$7:$AP$35,DQ323,'Char Sheet p1'!$AQ$7:$AQ$35)/10,0))</f>
        <v>0</v>
      </c>
      <c r="DX323" s="240">
        <f t="shared" ref="DX323:DX386" si="254">DW323+DV323</f>
        <v>0</v>
      </c>
      <c r="DY323" s="36">
        <f t="shared" si="249"/>
        <v>10</v>
      </c>
      <c r="DZ323" s="36" t="str">
        <f t="shared" si="251"/>
        <v/>
      </c>
      <c r="EE323" s="36">
        <f t="shared" si="244"/>
        <v>1</v>
      </c>
    </row>
    <row r="324" spans="41:135">
      <c r="AO324" s="52">
        <f>CharGen!D44</f>
        <v>0</v>
      </c>
      <c r="AP324" s="153">
        <f t="shared" si="245"/>
        <v>0</v>
      </c>
      <c r="AQ324" s="154">
        <f t="shared" si="246"/>
        <v>0</v>
      </c>
      <c r="AR324" s="153">
        <f t="shared" si="246"/>
        <v>0</v>
      </c>
      <c r="AS324" s="154">
        <f t="shared" si="246"/>
        <v>0</v>
      </c>
      <c r="AT324" s="153">
        <f t="shared" si="246"/>
        <v>0</v>
      </c>
      <c r="AU324" s="154">
        <f t="shared" si="246"/>
        <v>0</v>
      </c>
      <c r="AV324" s="153">
        <f t="shared" si="246"/>
        <v>0</v>
      </c>
      <c r="AW324" s="154">
        <f t="shared" si="246"/>
        <v>0</v>
      </c>
      <c r="AX324" s="153">
        <f t="shared" si="246"/>
        <v>0</v>
      </c>
      <c r="AY324" s="154">
        <f t="shared" si="246"/>
        <v>0</v>
      </c>
      <c r="AZ324" s="153">
        <f t="shared" si="246"/>
        <v>0</v>
      </c>
      <c r="BA324" s="154">
        <f t="shared" si="246"/>
        <v>0</v>
      </c>
      <c r="BB324" s="153">
        <f t="shared" si="246"/>
        <v>0</v>
      </c>
      <c r="BC324" s="154">
        <f t="shared" si="246"/>
        <v>0</v>
      </c>
      <c r="BD324" s="153">
        <f t="shared" si="246"/>
        <v>0</v>
      </c>
      <c r="BE324" s="154">
        <f t="shared" si="246"/>
        <v>0</v>
      </c>
      <c r="BF324" s="153">
        <f t="shared" si="246"/>
        <v>0</v>
      </c>
      <c r="BG324" s="154">
        <f t="shared" si="247"/>
        <v>0</v>
      </c>
      <c r="BH324" s="153">
        <f t="shared" si="247"/>
        <v>0</v>
      </c>
      <c r="BI324" s="154">
        <f t="shared" si="247"/>
        <v>0</v>
      </c>
      <c r="BJ324" s="153">
        <f t="shared" si="247"/>
        <v>0</v>
      </c>
      <c r="BK324" s="154">
        <f t="shared" si="247"/>
        <v>0</v>
      </c>
      <c r="BL324" s="153">
        <f t="shared" si="247"/>
        <v>0</v>
      </c>
      <c r="BM324" s="154">
        <f t="shared" si="247"/>
        <v>0</v>
      </c>
      <c r="BN324" s="153">
        <f t="shared" si="247"/>
        <v>0</v>
      </c>
      <c r="BO324" s="154">
        <f t="shared" si="247"/>
        <v>0</v>
      </c>
      <c r="BP324" s="153">
        <f t="shared" si="247"/>
        <v>0</v>
      </c>
      <c r="BQ324" s="154">
        <f t="shared" si="247"/>
        <v>0</v>
      </c>
      <c r="BR324" s="153">
        <f t="shared" si="247"/>
        <v>0</v>
      </c>
      <c r="BS324" s="154">
        <f t="shared" si="247"/>
        <v>0</v>
      </c>
      <c r="BT324" s="153">
        <f t="shared" si="247"/>
        <v>0</v>
      </c>
      <c r="BU324" s="154">
        <f t="shared" si="247"/>
        <v>0</v>
      </c>
      <c r="BV324" s="153">
        <f t="shared" si="247"/>
        <v>0</v>
      </c>
      <c r="BW324" s="154">
        <f t="shared" si="248"/>
        <v>0</v>
      </c>
      <c r="BX324" s="153">
        <f t="shared" si="248"/>
        <v>0</v>
      </c>
      <c r="BY324" s="154">
        <f t="shared" si="248"/>
        <v>0</v>
      </c>
      <c r="BZ324" s="153">
        <f t="shared" si="248"/>
        <v>0</v>
      </c>
      <c r="CA324" s="154">
        <f t="shared" si="248"/>
        <v>0</v>
      </c>
      <c r="CB324" s="155">
        <f t="shared" si="248"/>
        <v>0</v>
      </c>
      <c r="CC324" s="155">
        <f t="shared" si="248"/>
        <v>0</v>
      </c>
      <c r="CD324" s="155">
        <f t="shared" si="248"/>
        <v>0</v>
      </c>
      <c r="CE324" s="155">
        <f t="shared" si="248"/>
        <v>0</v>
      </c>
      <c r="CF324" s="155">
        <f t="shared" si="248"/>
        <v>0</v>
      </c>
      <c r="CG324" s="155">
        <f t="shared" si="248"/>
        <v>0</v>
      </c>
      <c r="CH324" s="155">
        <f t="shared" si="248"/>
        <v>0</v>
      </c>
      <c r="CI324" s="155">
        <f t="shared" si="248"/>
        <v>0</v>
      </c>
      <c r="CJ324" s="154">
        <f t="shared" si="248"/>
        <v>0</v>
      </c>
      <c r="CL324" s="52">
        <f>CharGen!$D$48</f>
        <v>0</v>
      </c>
      <c r="CN324" s="52">
        <f>CharGen!$D$48</f>
        <v>0</v>
      </c>
      <c r="CP324" s="52">
        <f>CharGen!$D$48</f>
        <v>0</v>
      </c>
      <c r="CR324" s="52">
        <f>CharGen!$D$48</f>
        <v>0</v>
      </c>
      <c r="CS324" s="86"/>
      <c r="CT324" s="52">
        <f>CharGen!$D$48</f>
        <v>0</v>
      </c>
      <c r="CU324" s="86"/>
      <c r="CV324" s="52"/>
      <c r="CW324" s="86"/>
      <c r="CX324" s="52">
        <f>CharGen!$D$48</f>
        <v>0</v>
      </c>
      <c r="CY324" s="86"/>
      <c r="CZ324" s="86"/>
      <c r="DA324" s="86"/>
      <c r="DB324" s="52">
        <f>CharGen!$D$48</f>
        <v>0</v>
      </c>
      <c r="DC324" s="86"/>
      <c r="DD324" s="52">
        <f>CharGen!$D$48</f>
        <v>0</v>
      </c>
      <c r="DF324" s="52">
        <f>CharGen!$D$48</f>
        <v>0</v>
      </c>
      <c r="DH324" s="52">
        <f>CharGen!$D$48</f>
        <v>0</v>
      </c>
      <c r="DJ324" s="52">
        <f>CharGen!$D$48</f>
        <v>0</v>
      </c>
      <c r="DL324" s="52">
        <f>CharGen!$D$48</f>
        <v>0</v>
      </c>
      <c r="DN324" s="32">
        <v>323</v>
      </c>
      <c r="DO324" s="34" t="s">
        <v>704</v>
      </c>
      <c r="DP324" s="38">
        <f t="shared" si="243"/>
        <v>0</v>
      </c>
      <c r="DQ324" s="173" t="str">
        <f t="shared" si="252"/>
        <v>(Stat) 0</v>
      </c>
      <c r="DR324" s="36" t="str">
        <f t="shared" si="253"/>
        <v/>
      </c>
      <c r="DV324" s="176">
        <f t="shared" si="250"/>
        <v>0</v>
      </c>
      <c r="DW324" s="243">
        <f>IF(COUNTIF('Char Sheet p1'!$AP$7:$AP$35,DQ324)=0,0,ROUNDDOWN(SUMIF('Char Sheet p1'!$AP$7:$AP$35,DQ324,'Char Sheet p1'!$AQ$7:$AQ$35)/10,0))</f>
        <v>0</v>
      </c>
      <c r="DX324" s="240">
        <f t="shared" si="254"/>
        <v>0</v>
      </c>
      <c r="DY324" s="36">
        <f t="shared" si="249"/>
        <v>11</v>
      </c>
      <c r="DZ324" s="36" t="str">
        <f t="shared" si="251"/>
        <v/>
      </c>
      <c r="EE324" s="36">
        <f t="shared" si="244"/>
        <v>1</v>
      </c>
    </row>
    <row r="325" spans="41:135">
      <c r="AO325" s="74">
        <f>CharGen!D45</f>
        <v>0</v>
      </c>
      <c r="AP325" s="156">
        <f t="shared" si="245"/>
        <v>0</v>
      </c>
      <c r="AQ325" s="157">
        <f t="shared" si="246"/>
        <v>0</v>
      </c>
      <c r="AR325" s="156">
        <f t="shared" si="246"/>
        <v>0</v>
      </c>
      <c r="AS325" s="157">
        <f t="shared" si="246"/>
        <v>0</v>
      </c>
      <c r="AT325" s="156">
        <f t="shared" si="246"/>
        <v>0</v>
      </c>
      <c r="AU325" s="157">
        <f t="shared" si="246"/>
        <v>0</v>
      </c>
      <c r="AV325" s="156">
        <f t="shared" si="246"/>
        <v>0</v>
      </c>
      <c r="AW325" s="157">
        <f t="shared" si="246"/>
        <v>0</v>
      </c>
      <c r="AX325" s="156">
        <f t="shared" si="246"/>
        <v>0</v>
      </c>
      <c r="AY325" s="157">
        <f t="shared" si="246"/>
        <v>0</v>
      </c>
      <c r="AZ325" s="156">
        <f t="shared" si="246"/>
        <v>0</v>
      </c>
      <c r="BA325" s="157">
        <f t="shared" si="246"/>
        <v>0</v>
      </c>
      <c r="BB325" s="156">
        <f t="shared" si="246"/>
        <v>0</v>
      </c>
      <c r="BC325" s="157">
        <f t="shared" si="246"/>
        <v>0</v>
      </c>
      <c r="BD325" s="156">
        <f t="shared" si="246"/>
        <v>0</v>
      </c>
      <c r="BE325" s="157">
        <f t="shared" si="246"/>
        <v>0</v>
      </c>
      <c r="BF325" s="156">
        <f t="shared" si="246"/>
        <v>0</v>
      </c>
      <c r="BG325" s="157">
        <f t="shared" si="247"/>
        <v>0</v>
      </c>
      <c r="BH325" s="156">
        <f t="shared" si="247"/>
        <v>0</v>
      </c>
      <c r="BI325" s="157">
        <f t="shared" si="247"/>
        <v>0</v>
      </c>
      <c r="BJ325" s="156">
        <f t="shared" si="247"/>
        <v>0</v>
      </c>
      <c r="BK325" s="157">
        <f t="shared" si="247"/>
        <v>0</v>
      </c>
      <c r="BL325" s="156">
        <f t="shared" si="247"/>
        <v>0</v>
      </c>
      <c r="BM325" s="157">
        <f t="shared" si="247"/>
        <v>0</v>
      </c>
      <c r="BN325" s="156">
        <f t="shared" si="247"/>
        <v>0</v>
      </c>
      <c r="BO325" s="157">
        <f t="shared" si="247"/>
        <v>0</v>
      </c>
      <c r="BP325" s="156">
        <f t="shared" si="247"/>
        <v>0</v>
      </c>
      <c r="BQ325" s="157">
        <f t="shared" si="247"/>
        <v>0</v>
      </c>
      <c r="BR325" s="156">
        <f t="shared" si="247"/>
        <v>0</v>
      </c>
      <c r="BS325" s="157">
        <f t="shared" si="247"/>
        <v>0</v>
      </c>
      <c r="BT325" s="156">
        <f t="shared" si="247"/>
        <v>0</v>
      </c>
      <c r="BU325" s="157">
        <f t="shared" si="247"/>
        <v>0</v>
      </c>
      <c r="BV325" s="156">
        <f t="shared" si="247"/>
        <v>0</v>
      </c>
      <c r="BW325" s="157">
        <f t="shared" si="248"/>
        <v>0</v>
      </c>
      <c r="BX325" s="156">
        <f t="shared" si="248"/>
        <v>0</v>
      </c>
      <c r="BY325" s="157">
        <f t="shared" si="248"/>
        <v>0</v>
      </c>
      <c r="BZ325" s="156">
        <f t="shared" si="248"/>
        <v>0</v>
      </c>
      <c r="CA325" s="157">
        <f t="shared" si="248"/>
        <v>0</v>
      </c>
      <c r="CB325" s="158">
        <f t="shared" si="248"/>
        <v>0</v>
      </c>
      <c r="CC325" s="158">
        <f t="shared" si="248"/>
        <v>0</v>
      </c>
      <c r="CD325" s="158">
        <f t="shared" si="248"/>
        <v>0</v>
      </c>
      <c r="CE325" s="158">
        <f t="shared" si="248"/>
        <v>0</v>
      </c>
      <c r="CF325" s="158">
        <f t="shared" si="248"/>
        <v>0</v>
      </c>
      <c r="CG325" s="158">
        <f t="shared" si="248"/>
        <v>0</v>
      </c>
      <c r="CH325" s="158">
        <f t="shared" si="248"/>
        <v>0</v>
      </c>
      <c r="CI325" s="158">
        <f t="shared" si="248"/>
        <v>0</v>
      </c>
      <c r="CJ325" s="157">
        <f t="shared" si="248"/>
        <v>0</v>
      </c>
      <c r="CL325" s="74">
        <f>CharGen!$D$49</f>
        <v>0</v>
      </c>
      <c r="CN325" s="74">
        <f>CharGen!$D$49</f>
        <v>0</v>
      </c>
      <c r="CP325" s="74">
        <f>CharGen!$D$49</f>
        <v>0</v>
      </c>
      <c r="CR325" s="74">
        <f>CharGen!$D$49</f>
        <v>0</v>
      </c>
      <c r="CS325" s="86"/>
      <c r="CT325" s="74">
        <f>CharGen!$D$49</f>
        <v>0</v>
      </c>
      <c r="CU325" s="86"/>
      <c r="CV325" s="74">
        <f>CharGen!$D$49</f>
        <v>0</v>
      </c>
      <c r="CW325" s="86"/>
      <c r="CX325" s="74"/>
      <c r="CY325" s="86"/>
      <c r="CZ325" s="86"/>
      <c r="DA325" s="86"/>
      <c r="DB325" s="74">
        <f>CharGen!$D$49</f>
        <v>0</v>
      </c>
      <c r="DC325" s="86"/>
      <c r="DD325" s="74">
        <f>CharGen!$D$49</f>
        <v>0</v>
      </c>
      <c r="DF325" s="74">
        <f>CharGen!$D$49</f>
        <v>0</v>
      </c>
      <c r="DH325" s="74">
        <f>CharGen!$D$49</f>
        <v>0</v>
      </c>
      <c r="DJ325" s="74">
        <f>CharGen!$D$49</f>
        <v>0</v>
      </c>
      <c r="DL325" s="74">
        <f>CharGen!$D$49</f>
        <v>0</v>
      </c>
      <c r="DN325" s="32">
        <v>324</v>
      </c>
      <c r="DO325" s="34" t="s">
        <v>704</v>
      </c>
      <c r="DP325" s="38">
        <f t="shared" si="243"/>
        <v>0</v>
      </c>
      <c r="DQ325" s="173" t="str">
        <f t="shared" si="252"/>
        <v>(Stat) 0</v>
      </c>
      <c r="DR325" s="36" t="str">
        <f t="shared" si="253"/>
        <v/>
      </c>
      <c r="DV325" s="176">
        <f t="shared" si="250"/>
        <v>0</v>
      </c>
      <c r="DW325" s="243">
        <f>IF(COUNTIF('Char Sheet p1'!$AP$7:$AP$35,DQ325)=0,0,ROUNDDOWN(SUMIF('Char Sheet p1'!$AP$7:$AP$35,DQ325,'Char Sheet p1'!$AQ$7:$AQ$35)/10,0))</f>
        <v>0</v>
      </c>
      <c r="DX325" s="240">
        <f t="shared" si="254"/>
        <v>0</v>
      </c>
      <c r="DY325" s="36">
        <f t="shared" si="249"/>
        <v>12</v>
      </c>
      <c r="DZ325" s="36" t="str">
        <f t="shared" si="251"/>
        <v/>
      </c>
      <c r="EE325" s="36">
        <f t="shared" si="244"/>
        <v>1</v>
      </c>
    </row>
    <row r="326" spans="41:135">
      <c r="AO326" s="149" t="s">
        <v>343</v>
      </c>
      <c r="AP326" s="159">
        <f t="shared" ref="AP326:BP326" si="255">SUM(AP228:AP233)+SUM(AP319:AP325)</f>
        <v>0</v>
      </c>
      <c r="AQ326" s="160">
        <f t="shared" si="255"/>
        <v>0</v>
      </c>
      <c r="AR326" s="159">
        <f t="shared" si="255"/>
        <v>0</v>
      </c>
      <c r="AS326" s="160">
        <f t="shared" si="255"/>
        <v>0</v>
      </c>
      <c r="AT326" s="159">
        <f t="shared" si="255"/>
        <v>0</v>
      </c>
      <c r="AU326" s="160">
        <f t="shared" si="255"/>
        <v>0</v>
      </c>
      <c r="AV326" s="159">
        <f t="shared" si="255"/>
        <v>0</v>
      </c>
      <c r="AW326" s="160">
        <f t="shared" si="255"/>
        <v>0</v>
      </c>
      <c r="AX326" s="159">
        <f t="shared" si="255"/>
        <v>0</v>
      </c>
      <c r="AY326" s="160">
        <f t="shared" si="255"/>
        <v>0</v>
      </c>
      <c r="AZ326" s="159">
        <f t="shared" si="255"/>
        <v>0</v>
      </c>
      <c r="BA326" s="160">
        <f t="shared" si="255"/>
        <v>0</v>
      </c>
      <c r="BB326" s="159">
        <f t="shared" si="255"/>
        <v>0</v>
      </c>
      <c r="BC326" s="160">
        <f t="shared" si="255"/>
        <v>0</v>
      </c>
      <c r="BD326" s="159">
        <f t="shared" si="255"/>
        <v>0</v>
      </c>
      <c r="BE326" s="160">
        <f t="shared" si="255"/>
        <v>0</v>
      </c>
      <c r="BF326" s="159">
        <f t="shared" si="255"/>
        <v>0</v>
      </c>
      <c r="BG326" s="160">
        <f t="shared" si="255"/>
        <v>0</v>
      </c>
      <c r="BH326" s="159">
        <f t="shared" si="255"/>
        <v>0</v>
      </c>
      <c r="BI326" s="160">
        <f t="shared" si="255"/>
        <v>0</v>
      </c>
      <c r="BJ326" s="159">
        <f t="shared" si="255"/>
        <v>0</v>
      </c>
      <c r="BK326" s="160">
        <f t="shared" si="255"/>
        <v>0</v>
      </c>
      <c r="BL326" s="159">
        <f t="shared" si="255"/>
        <v>0</v>
      </c>
      <c r="BM326" s="160">
        <f t="shared" si="255"/>
        <v>0</v>
      </c>
      <c r="BN326" s="159">
        <f t="shared" si="255"/>
        <v>0</v>
      </c>
      <c r="BO326" s="160">
        <f t="shared" si="255"/>
        <v>0</v>
      </c>
      <c r="BP326" s="159">
        <f t="shared" si="255"/>
        <v>0</v>
      </c>
      <c r="BQ326" s="160">
        <f>SUM(BQ228:BQ233)+SUM(BQ319:BQ325)</f>
        <v>0</v>
      </c>
      <c r="BR326" s="159">
        <f t="shared" ref="BR326:CJ326" si="256">SUM(BR228:BR233)+SUM(BR319:BR325)</f>
        <v>0</v>
      </c>
      <c r="BS326" s="160">
        <f t="shared" si="256"/>
        <v>0</v>
      </c>
      <c r="BT326" s="159">
        <f t="shared" si="256"/>
        <v>0</v>
      </c>
      <c r="BU326" s="160">
        <f t="shared" si="256"/>
        <v>0</v>
      </c>
      <c r="BV326" s="159">
        <f t="shared" si="256"/>
        <v>0</v>
      </c>
      <c r="BW326" s="160">
        <f t="shared" si="256"/>
        <v>0</v>
      </c>
      <c r="BX326" s="159">
        <f t="shared" si="256"/>
        <v>0</v>
      </c>
      <c r="BY326" s="160">
        <f t="shared" si="256"/>
        <v>0</v>
      </c>
      <c r="BZ326" s="159">
        <f t="shared" si="256"/>
        <v>0</v>
      </c>
      <c r="CA326" s="160">
        <f t="shared" si="256"/>
        <v>0</v>
      </c>
      <c r="CB326" s="161">
        <f t="shared" si="256"/>
        <v>0</v>
      </c>
      <c r="CC326" s="161">
        <f t="shared" si="256"/>
        <v>0</v>
      </c>
      <c r="CD326" s="161">
        <f t="shared" si="256"/>
        <v>0</v>
      </c>
      <c r="CE326" s="161">
        <f t="shared" si="256"/>
        <v>0</v>
      </c>
      <c r="CF326" s="161">
        <f t="shared" si="256"/>
        <v>0</v>
      </c>
      <c r="CG326" s="161">
        <f t="shared" si="256"/>
        <v>0</v>
      </c>
      <c r="CH326" s="161">
        <f t="shared" si="256"/>
        <v>0</v>
      </c>
      <c r="CI326" s="161">
        <f t="shared" si="256"/>
        <v>0</v>
      </c>
      <c r="CJ326" s="160">
        <f t="shared" si="256"/>
        <v>0</v>
      </c>
      <c r="CL326" s="50" t="str">
        <f>IF(agecategory="Middle Aged",middleagerange,IF(age&gt;A7,oldrange,"Tables!"&amp;ADDRESS(ROW(CL236),COLUMN())&amp;":"&amp;ADDRESS(ROW(CL235)+CL235,COLUMN())))</f>
        <v>Tables!$CL$236:$CL$288</v>
      </c>
      <c r="CN326" s="50" t="str">
        <f>IF(CL327&gt;0,nonerange,IF(AND(age&gt;A8, remainingflaws&gt;1),oldrange,"Tables!"&amp;ADDRESS(ROW(CN236),COLUMN())&amp;":"&amp;ADDRESS(ROW(CN235)+CN235,COLUMN())))</f>
        <v>Tables!$DE$2</v>
      </c>
      <c r="CP326" s="50" t="str">
        <f>IF(CN327&gt;0,nonerange,IF(AND(age&gt;A9,remainingflaws&gt;1),oldrange,"Tables!"&amp;ADDRESS(ROW(CP236),COLUMN())&amp;":"&amp;ADDRESS(ROW(CP235)+CP235,COLUMN())))</f>
        <v>Tables!$DE$2</v>
      </c>
      <c r="CR326" s="50" t="str">
        <f>IF(CP327&gt;0,nonerange,"Tables!"&amp;ADDRESS(ROW(CR236),COLUMN())&amp;":"&amp;ADDRESS(ROW(CR235)+CR235,COLUMN()))</f>
        <v>Tables!$DE$2</v>
      </c>
      <c r="CS326" s="87"/>
      <c r="CT326" s="50" t="str">
        <f>IF(CR327&gt;0,nonerange,"Tables!"&amp;ADDRESS(ROW(CT236),COLUMN())&amp;":"&amp;ADDRESS(ROW(CT235)+CT235,COLUMN()))</f>
        <v>Tables!$DE$2</v>
      </c>
      <c r="CU326" s="87"/>
      <c r="CV326" s="50" t="str">
        <f>IF(CT327&gt;0,nonerange,"Tables!"&amp;ADDRESS(ROW(CV236),COLUMN())&amp;":"&amp;ADDRESS(ROW(CV235)+CV235,COLUMN()))</f>
        <v>Tables!$DE$2</v>
      </c>
      <c r="CW326" s="87"/>
      <c r="CX326" s="50" t="str">
        <f>IF(CV327&gt;0,nonerange,"Tables!"&amp;ADDRESS(ROW(CX236),COLUMN())&amp;":"&amp;ADDRESS(ROW(CX235)+CX235,COLUMN()))</f>
        <v>Tables!$DE$2</v>
      </c>
      <c r="CY326" s="87"/>
      <c r="CZ326" s="87"/>
      <c r="DA326" s="87"/>
      <c r="DB326" s="332"/>
      <c r="DC326" s="87"/>
      <c r="DD326" s="332">
        <f>'Char Sheet p1'!$AP$39</f>
        <v>0</v>
      </c>
      <c r="DF326" s="332">
        <f>'Char Sheet p1'!$AP$39</f>
        <v>0</v>
      </c>
      <c r="DH326" s="332">
        <f>'Char Sheet p1'!$AP$39</f>
        <v>0</v>
      </c>
      <c r="DJ326" s="332">
        <f>'Char Sheet p1'!$AP$39</f>
        <v>0</v>
      </c>
      <c r="DL326" s="332">
        <f>'Char Sheet p1'!$AP$39</f>
        <v>0</v>
      </c>
      <c r="DN326" s="32">
        <v>325</v>
      </c>
      <c r="DO326" s="34" t="s">
        <v>704</v>
      </c>
      <c r="DP326" s="38">
        <f t="shared" si="243"/>
        <v>0</v>
      </c>
      <c r="DQ326" s="173" t="str">
        <f t="shared" si="252"/>
        <v>(Stat) 0</v>
      </c>
      <c r="DR326" s="36" t="str">
        <f t="shared" si="253"/>
        <v/>
      </c>
      <c r="DV326" s="176">
        <f t="shared" si="250"/>
        <v>0</v>
      </c>
      <c r="DW326" s="243">
        <f>IF(COUNTIF('Char Sheet p1'!$AP$7:$AP$35,DQ326)=0,0,ROUNDDOWN(SUMIF('Char Sheet p1'!$AP$7:$AP$35,DQ326,'Char Sheet p1'!$AQ$7:$AQ$35)/10,0))</f>
        <v>0</v>
      </c>
      <c r="DX326" s="240">
        <f t="shared" si="254"/>
        <v>0</v>
      </c>
      <c r="DY326" s="36">
        <f t="shared" si="249"/>
        <v>13</v>
      </c>
      <c r="DZ326" s="36" t="str">
        <f t="shared" si="251"/>
        <v/>
      </c>
      <c r="EE326" s="36">
        <f t="shared" si="244"/>
        <v>1</v>
      </c>
    </row>
    <row r="327" spans="41:135">
      <c r="CL327" s="60">
        <f>N(CharGen!AH42=0)</f>
        <v>1</v>
      </c>
      <c r="CM327" s="60"/>
      <c r="CN327" s="60">
        <f>CL327+N(CharGen!AH43=0)</f>
        <v>2</v>
      </c>
      <c r="CO327" s="60"/>
      <c r="CP327" s="60">
        <f>CN327+N(CharGen!AH44=0)</f>
        <v>3</v>
      </c>
      <c r="CQ327" s="60"/>
      <c r="CR327" s="60">
        <f>CP327+N(CharGen!AH45=0)</f>
        <v>4</v>
      </c>
      <c r="CS327" s="60"/>
      <c r="CT327" s="60">
        <f>CR327+N(CharGen!AH46=0)</f>
        <v>5</v>
      </c>
      <c r="CU327" s="60"/>
      <c r="CV327" s="60">
        <f>CT327+N(CharGen!AH48=0)</f>
        <v>6</v>
      </c>
      <c r="CW327" s="60"/>
      <c r="CX327" s="60">
        <f>CV327+N(CharGen!AH49=0)</f>
        <v>7</v>
      </c>
      <c r="CY327" s="60"/>
      <c r="CZ327" s="60"/>
      <c r="DA327" s="60"/>
      <c r="DB327" s="332">
        <f>'Char Sheet p1'!$AP$41</f>
        <v>0</v>
      </c>
      <c r="DC327" s="60"/>
      <c r="DD327" s="332"/>
      <c r="DF327" s="332">
        <f>'Char Sheet p1'!$AP$41</f>
        <v>0</v>
      </c>
      <c r="DH327" s="332">
        <f>'Char Sheet p1'!$AP$41</f>
        <v>0</v>
      </c>
      <c r="DJ327" s="332">
        <f>'Char Sheet p1'!$AP$41</f>
        <v>0</v>
      </c>
      <c r="DL327" s="332">
        <f>'Char Sheet p1'!$AP$41</f>
        <v>0</v>
      </c>
      <c r="DN327" s="32">
        <v>326</v>
      </c>
      <c r="DO327" s="34" t="s">
        <v>704</v>
      </c>
      <c r="DP327" s="38">
        <f t="shared" si="243"/>
        <v>0</v>
      </c>
      <c r="DQ327" s="173" t="str">
        <f t="shared" si="252"/>
        <v>(Stat) 0</v>
      </c>
      <c r="DR327" s="36" t="str">
        <f t="shared" si="253"/>
        <v/>
      </c>
      <c r="DV327" s="176">
        <f t="shared" si="250"/>
        <v>0</v>
      </c>
      <c r="DW327" s="243">
        <f>IF(COUNTIF('Char Sheet p1'!$AP$7:$AP$35,DQ327)=0,0,ROUNDDOWN(SUMIF('Char Sheet p1'!$AP$7:$AP$35,DQ327,'Char Sheet p1'!$AQ$7:$AQ$35)/10,0))</f>
        <v>0</v>
      </c>
      <c r="DX327" s="240">
        <f t="shared" si="254"/>
        <v>0</v>
      </c>
      <c r="DY327" s="36">
        <f t="shared" si="249"/>
        <v>14</v>
      </c>
      <c r="DZ327" s="36" t="str">
        <f t="shared" si="251"/>
        <v/>
      </c>
      <c r="EE327" s="36">
        <f t="shared" si="244"/>
        <v>1</v>
      </c>
    </row>
    <row r="328" spans="41:135">
      <c r="AO328" s="335">
        <f>'Char Sheet p1'!AM39</f>
        <v>0</v>
      </c>
      <c r="AP328" s="150">
        <f t="shared" ref="AP328:BE333" si="257">IF($AO328=0,0,VLOOKUP($AO328,$AG$2:$CJ$226,AP$227,FALSE))</f>
        <v>0</v>
      </c>
      <c r="AQ328" s="152">
        <f t="shared" si="257"/>
        <v>0</v>
      </c>
      <c r="AR328" s="152">
        <f t="shared" si="257"/>
        <v>0</v>
      </c>
      <c r="AS328" s="152">
        <f t="shared" si="257"/>
        <v>0</v>
      </c>
      <c r="AT328" s="152">
        <f t="shared" si="257"/>
        <v>0</v>
      </c>
      <c r="AU328" s="152">
        <f t="shared" si="257"/>
        <v>0</v>
      </c>
      <c r="AV328" s="152">
        <f t="shared" si="257"/>
        <v>0</v>
      </c>
      <c r="AW328" s="152">
        <f t="shared" si="257"/>
        <v>0</v>
      </c>
      <c r="AX328" s="152">
        <f t="shared" si="257"/>
        <v>0</v>
      </c>
      <c r="AY328" s="152">
        <f t="shared" si="257"/>
        <v>0</v>
      </c>
      <c r="AZ328" s="152">
        <f t="shared" si="257"/>
        <v>0</v>
      </c>
      <c r="BA328" s="152">
        <f t="shared" si="257"/>
        <v>0</v>
      </c>
      <c r="BB328" s="152">
        <f t="shared" si="257"/>
        <v>0</v>
      </c>
      <c r="BC328" s="152">
        <f t="shared" si="257"/>
        <v>0</v>
      </c>
      <c r="BD328" s="152">
        <f t="shared" si="257"/>
        <v>0</v>
      </c>
      <c r="BE328" s="152">
        <f t="shared" si="257"/>
        <v>0</v>
      </c>
      <c r="BF328" s="152">
        <f t="shared" ref="BF328:BU333" si="258">IF($AO328=0,0,VLOOKUP($AO328,$AG$2:$CJ$226,BF$227,FALSE))</f>
        <v>0</v>
      </c>
      <c r="BG328" s="152">
        <f t="shared" si="258"/>
        <v>0</v>
      </c>
      <c r="BH328" s="152">
        <f t="shared" si="258"/>
        <v>0</v>
      </c>
      <c r="BI328" s="152">
        <f t="shared" si="258"/>
        <v>0</v>
      </c>
      <c r="BJ328" s="152">
        <f t="shared" si="258"/>
        <v>0</v>
      </c>
      <c r="BK328" s="152">
        <f t="shared" si="258"/>
        <v>0</v>
      </c>
      <c r="BL328" s="152">
        <f t="shared" si="258"/>
        <v>0</v>
      </c>
      <c r="BM328" s="152">
        <f t="shared" si="258"/>
        <v>0</v>
      </c>
      <c r="BN328" s="152">
        <f t="shared" si="258"/>
        <v>0</v>
      </c>
      <c r="BO328" s="152">
        <f t="shared" si="258"/>
        <v>0</v>
      </c>
      <c r="BP328" s="152">
        <f t="shared" si="258"/>
        <v>0</v>
      </c>
      <c r="BQ328" s="152">
        <f t="shared" si="258"/>
        <v>0</v>
      </c>
      <c r="BR328" s="152">
        <f t="shared" si="258"/>
        <v>0</v>
      </c>
      <c r="BS328" s="152">
        <f t="shared" si="258"/>
        <v>0</v>
      </c>
      <c r="BT328" s="152">
        <f t="shared" si="258"/>
        <v>0</v>
      </c>
      <c r="BU328" s="152">
        <f t="shared" si="258"/>
        <v>0</v>
      </c>
      <c r="BV328" s="152">
        <f t="shared" ref="BV328:CJ333" si="259">IF($AO328=0,0,VLOOKUP($AO328,$AG$2:$CJ$226,BV$227,FALSE))</f>
        <v>0</v>
      </c>
      <c r="BW328" s="152">
        <f t="shared" si="259"/>
        <v>0</v>
      </c>
      <c r="BX328" s="152">
        <f t="shared" si="259"/>
        <v>0</v>
      </c>
      <c r="BY328" s="152">
        <f t="shared" si="259"/>
        <v>0</v>
      </c>
      <c r="BZ328" s="152">
        <f t="shared" si="259"/>
        <v>0</v>
      </c>
      <c r="CA328" s="152">
        <f t="shared" si="259"/>
        <v>0</v>
      </c>
      <c r="CB328" s="152">
        <f t="shared" si="259"/>
        <v>0</v>
      </c>
      <c r="CC328" s="152">
        <f t="shared" si="259"/>
        <v>0</v>
      </c>
      <c r="CD328" s="152">
        <f t="shared" si="259"/>
        <v>0</v>
      </c>
      <c r="CE328" s="152">
        <f t="shared" si="259"/>
        <v>0</v>
      </c>
      <c r="CF328" s="152">
        <f t="shared" si="259"/>
        <v>0</v>
      </c>
      <c r="CG328" s="152">
        <f t="shared" si="259"/>
        <v>0</v>
      </c>
      <c r="CH328" s="152">
        <f t="shared" si="259"/>
        <v>0</v>
      </c>
      <c r="CI328" s="152">
        <f t="shared" si="259"/>
        <v>0</v>
      </c>
      <c r="CJ328" s="151">
        <f t="shared" si="259"/>
        <v>0</v>
      </c>
      <c r="CL328" s="16" t="s">
        <v>263</v>
      </c>
      <c r="CN328" s="16" t="s">
        <v>266</v>
      </c>
      <c r="CP328" s="16" t="s">
        <v>271</v>
      </c>
      <c r="CR328" s="16" t="s">
        <v>270</v>
      </c>
      <c r="DB328" s="332">
        <f>'Char Sheet p1'!$AP$42</f>
        <v>0</v>
      </c>
      <c r="DD328" s="332">
        <f>'Char Sheet p1'!$AP$42</f>
        <v>0</v>
      </c>
      <c r="DF328" s="332"/>
      <c r="DH328" s="332">
        <f>'Char Sheet p1'!$AP$42</f>
        <v>0</v>
      </c>
      <c r="DJ328" s="332">
        <f>'Char Sheet p1'!$AP$42</f>
        <v>0</v>
      </c>
      <c r="DL328" s="332">
        <f>'Char Sheet p1'!$AP$42</f>
        <v>0</v>
      </c>
      <c r="DN328" s="32">
        <v>327</v>
      </c>
      <c r="DO328" s="34" t="s">
        <v>704</v>
      </c>
      <c r="DP328" s="38">
        <f t="shared" si="243"/>
        <v>0</v>
      </c>
      <c r="DQ328" s="173" t="str">
        <f t="shared" si="252"/>
        <v>(Stat) 0</v>
      </c>
      <c r="DR328" s="36" t="str">
        <f t="shared" si="253"/>
        <v/>
      </c>
      <c r="DV328" s="176">
        <f t="shared" si="250"/>
        <v>0</v>
      </c>
      <c r="DW328" s="243">
        <f>IF(COUNTIF('Char Sheet p1'!$AP$7:$AP$35,DQ328)=0,0,ROUNDDOWN(SUMIF('Char Sheet p1'!$AP$7:$AP$35,DQ328,'Char Sheet p1'!$AQ$7:$AQ$35)/10,0))</f>
        <v>0</v>
      </c>
      <c r="DX328" s="240">
        <f t="shared" si="254"/>
        <v>0</v>
      </c>
      <c r="DY328" s="36">
        <f t="shared" si="249"/>
        <v>15</v>
      </c>
      <c r="DZ328" s="36" t="str">
        <f t="shared" si="251"/>
        <v/>
      </c>
      <c r="EE328" s="36">
        <f t="shared" si="244"/>
        <v>1</v>
      </c>
    </row>
    <row r="329" spans="41:135">
      <c r="AO329" s="336">
        <f>'Char Sheet p1'!AM41</f>
        <v>0</v>
      </c>
      <c r="AP329" s="153">
        <f t="shared" si="257"/>
        <v>0</v>
      </c>
      <c r="AQ329" s="155">
        <f t="shared" si="257"/>
        <v>0</v>
      </c>
      <c r="AR329" s="155">
        <f t="shared" si="257"/>
        <v>0</v>
      </c>
      <c r="AS329" s="155">
        <f t="shared" si="257"/>
        <v>0</v>
      </c>
      <c r="AT329" s="155">
        <f t="shared" si="257"/>
        <v>0</v>
      </c>
      <c r="AU329" s="155">
        <f t="shared" si="257"/>
        <v>0</v>
      </c>
      <c r="AV329" s="155">
        <f t="shared" si="257"/>
        <v>0</v>
      </c>
      <c r="AW329" s="155">
        <f t="shared" si="257"/>
        <v>0</v>
      </c>
      <c r="AX329" s="155">
        <f t="shared" si="257"/>
        <v>0</v>
      </c>
      <c r="AY329" s="155">
        <f t="shared" si="257"/>
        <v>0</v>
      </c>
      <c r="AZ329" s="155">
        <f t="shared" si="257"/>
        <v>0</v>
      </c>
      <c r="BA329" s="155">
        <f t="shared" si="257"/>
        <v>0</v>
      </c>
      <c r="BB329" s="155">
        <f t="shared" si="257"/>
        <v>0</v>
      </c>
      <c r="BC329" s="155">
        <f t="shared" si="257"/>
        <v>0</v>
      </c>
      <c r="BD329" s="155">
        <f t="shared" si="257"/>
        <v>0</v>
      </c>
      <c r="BE329" s="155">
        <f t="shared" si="257"/>
        <v>0</v>
      </c>
      <c r="BF329" s="155">
        <f t="shared" si="258"/>
        <v>0</v>
      </c>
      <c r="BG329" s="155">
        <f t="shared" si="258"/>
        <v>0</v>
      </c>
      <c r="BH329" s="155">
        <f t="shared" si="258"/>
        <v>0</v>
      </c>
      <c r="BI329" s="155">
        <f t="shared" si="258"/>
        <v>0</v>
      </c>
      <c r="BJ329" s="155">
        <f t="shared" si="258"/>
        <v>0</v>
      </c>
      <c r="BK329" s="155">
        <f t="shared" si="258"/>
        <v>0</v>
      </c>
      <c r="BL329" s="155">
        <f t="shared" si="258"/>
        <v>0</v>
      </c>
      <c r="BM329" s="155">
        <f t="shared" si="258"/>
        <v>0</v>
      </c>
      <c r="BN329" s="155">
        <f t="shared" si="258"/>
        <v>0</v>
      </c>
      <c r="BO329" s="155">
        <f t="shared" si="258"/>
        <v>0</v>
      </c>
      <c r="BP329" s="155">
        <f t="shared" si="258"/>
        <v>0</v>
      </c>
      <c r="BQ329" s="155">
        <f t="shared" si="258"/>
        <v>0</v>
      </c>
      <c r="BR329" s="155">
        <f t="shared" si="258"/>
        <v>0</v>
      </c>
      <c r="BS329" s="155">
        <f t="shared" si="258"/>
        <v>0</v>
      </c>
      <c r="BT329" s="155">
        <f t="shared" si="258"/>
        <v>0</v>
      </c>
      <c r="BU329" s="155">
        <f t="shared" si="258"/>
        <v>0</v>
      </c>
      <c r="BV329" s="155">
        <f t="shared" si="259"/>
        <v>0</v>
      </c>
      <c r="BW329" s="155">
        <f t="shared" si="259"/>
        <v>0</v>
      </c>
      <c r="BX329" s="155">
        <f t="shared" si="259"/>
        <v>0</v>
      </c>
      <c r="BY329" s="155">
        <f t="shared" si="259"/>
        <v>0</v>
      </c>
      <c r="BZ329" s="155">
        <f t="shared" si="259"/>
        <v>0</v>
      </c>
      <c r="CA329" s="155">
        <f t="shared" si="259"/>
        <v>0</v>
      </c>
      <c r="CB329" s="155">
        <f t="shared" si="259"/>
        <v>0</v>
      </c>
      <c r="CC329" s="155">
        <f t="shared" si="259"/>
        <v>0</v>
      </c>
      <c r="CD329" s="155">
        <f t="shared" si="259"/>
        <v>0</v>
      </c>
      <c r="CE329" s="155">
        <f t="shared" si="259"/>
        <v>0</v>
      </c>
      <c r="CF329" s="155">
        <f t="shared" si="259"/>
        <v>0</v>
      </c>
      <c r="CG329" s="155">
        <f t="shared" si="259"/>
        <v>0</v>
      </c>
      <c r="CH329" s="155">
        <f t="shared" si="259"/>
        <v>0</v>
      </c>
      <c r="CI329" s="155">
        <f t="shared" si="259"/>
        <v>0</v>
      </c>
      <c r="CJ329" s="154">
        <f t="shared" si="259"/>
        <v>0</v>
      </c>
      <c r="CL329" s="16" t="s">
        <v>264</v>
      </c>
      <c r="CN329" s="16" t="s">
        <v>267</v>
      </c>
      <c r="CP329" s="16" t="s">
        <v>267</v>
      </c>
      <c r="DB329" s="332">
        <f>'Char Sheet p1'!$AP$43</f>
        <v>0</v>
      </c>
      <c r="DD329" s="332">
        <f>'Char Sheet p1'!$AP$43</f>
        <v>0</v>
      </c>
      <c r="DF329" s="332">
        <f>'Char Sheet p1'!$AP$43</f>
        <v>0</v>
      </c>
      <c r="DH329" s="332"/>
      <c r="DJ329" s="332">
        <f>'Char Sheet p1'!$AP$43</f>
        <v>0</v>
      </c>
      <c r="DL329" s="332">
        <f>'Char Sheet p1'!$AP$43</f>
        <v>0</v>
      </c>
      <c r="DN329" s="32">
        <v>328</v>
      </c>
      <c r="DO329" s="34" t="s">
        <v>704</v>
      </c>
      <c r="DP329" s="38">
        <f t="shared" si="243"/>
        <v>0</v>
      </c>
      <c r="DQ329" s="173" t="str">
        <f t="shared" si="252"/>
        <v>(Stat) 0</v>
      </c>
      <c r="DR329" s="36" t="str">
        <f t="shared" si="253"/>
        <v/>
      </c>
      <c r="DV329" s="176">
        <f t="shared" si="250"/>
        <v>0</v>
      </c>
      <c r="DW329" s="243">
        <f>IF(COUNTIF('Char Sheet p1'!$AP$7:$AP$35,DQ329)=0,0,ROUNDDOWN(SUMIF('Char Sheet p1'!$AP$7:$AP$35,DQ329,'Char Sheet p1'!$AQ$7:$AQ$35)/10,0))</f>
        <v>0</v>
      </c>
      <c r="DX329" s="240">
        <f t="shared" si="254"/>
        <v>0</v>
      </c>
      <c r="DY329" s="36">
        <f t="shared" si="249"/>
        <v>16</v>
      </c>
      <c r="DZ329" s="36" t="str">
        <f t="shared" si="251"/>
        <v/>
      </c>
      <c r="EE329" s="36">
        <f t="shared" si="244"/>
        <v>1</v>
      </c>
    </row>
    <row r="330" spans="41:135">
      <c r="AO330" s="336">
        <f>'Char Sheet p1'!AM42</f>
        <v>0</v>
      </c>
      <c r="AP330" s="153">
        <f t="shared" si="257"/>
        <v>0</v>
      </c>
      <c r="AQ330" s="155">
        <f t="shared" si="257"/>
        <v>0</v>
      </c>
      <c r="AR330" s="155">
        <f t="shared" si="257"/>
        <v>0</v>
      </c>
      <c r="AS330" s="155">
        <f t="shared" si="257"/>
        <v>0</v>
      </c>
      <c r="AT330" s="155">
        <f t="shared" si="257"/>
        <v>0</v>
      </c>
      <c r="AU330" s="155">
        <f t="shared" si="257"/>
        <v>0</v>
      </c>
      <c r="AV330" s="155">
        <f t="shared" si="257"/>
        <v>0</v>
      </c>
      <c r="AW330" s="155">
        <f t="shared" si="257"/>
        <v>0</v>
      </c>
      <c r="AX330" s="155">
        <f t="shared" si="257"/>
        <v>0</v>
      </c>
      <c r="AY330" s="155">
        <f t="shared" si="257"/>
        <v>0</v>
      </c>
      <c r="AZ330" s="155">
        <f t="shared" si="257"/>
        <v>0</v>
      </c>
      <c r="BA330" s="155">
        <f t="shared" si="257"/>
        <v>0</v>
      </c>
      <c r="BB330" s="155">
        <f t="shared" si="257"/>
        <v>0</v>
      </c>
      <c r="BC330" s="155">
        <f t="shared" si="257"/>
        <v>0</v>
      </c>
      <c r="BD330" s="155">
        <f t="shared" si="257"/>
        <v>0</v>
      </c>
      <c r="BE330" s="155">
        <f t="shared" si="257"/>
        <v>0</v>
      </c>
      <c r="BF330" s="155">
        <f t="shared" si="258"/>
        <v>0</v>
      </c>
      <c r="BG330" s="155">
        <f t="shared" si="258"/>
        <v>0</v>
      </c>
      <c r="BH330" s="155">
        <f t="shared" si="258"/>
        <v>0</v>
      </c>
      <c r="BI330" s="155">
        <f t="shared" si="258"/>
        <v>0</v>
      </c>
      <c r="BJ330" s="155">
        <f t="shared" si="258"/>
        <v>0</v>
      </c>
      <c r="BK330" s="155">
        <f t="shared" si="258"/>
        <v>0</v>
      </c>
      <c r="BL330" s="155">
        <f t="shared" si="258"/>
        <v>0</v>
      </c>
      <c r="BM330" s="155">
        <f t="shared" si="258"/>
        <v>0</v>
      </c>
      <c r="BN330" s="155">
        <f t="shared" si="258"/>
        <v>0</v>
      </c>
      <c r="BO330" s="155">
        <f t="shared" si="258"/>
        <v>0</v>
      </c>
      <c r="BP330" s="155">
        <f t="shared" si="258"/>
        <v>0</v>
      </c>
      <c r="BQ330" s="155">
        <f t="shared" si="258"/>
        <v>0</v>
      </c>
      <c r="BR330" s="155">
        <f t="shared" si="258"/>
        <v>0</v>
      </c>
      <c r="BS330" s="155">
        <f t="shared" si="258"/>
        <v>0</v>
      </c>
      <c r="BT330" s="155">
        <f t="shared" si="258"/>
        <v>0</v>
      </c>
      <c r="BU330" s="155">
        <f t="shared" si="258"/>
        <v>0</v>
      </c>
      <c r="BV330" s="155">
        <f t="shared" si="259"/>
        <v>0</v>
      </c>
      <c r="BW330" s="155">
        <f t="shared" si="259"/>
        <v>0</v>
      </c>
      <c r="BX330" s="155">
        <f t="shared" si="259"/>
        <v>0</v>
      </c>
      <c r="BY330" s="155">
        <f t="shared" si="259"/>
        <v>0</v>
      </c>
      <c r="BZ330" s="155">
        <f t="shared" si="259"/>
        <v>0</v>
      </c>
      <c r="CA330" s="155">
        <f t="shared" si="259"/>
        <v>0</v>
      </c>
      <c r="CB330" s="155">
        <f t="shared" si="259"/>
        <v>0</v>
      </c>
      <c r="CC330" s="155">
        <f t="shared" si="259"/>
        <v>0</v>
      </c>
      <c r="CD330" s="155">
        <f t="shared" si="259"/>
        <v>0</v>
      </c>
      <c r="CE330" s="155">
        <f t="shared" si="259"/>
        <v>0</v>
      </c>
      <c r="CF330" s="155">
        <f t="shared" si="259"/>
        <v>0</v>
      </c>
      <c r="CG330" s="155">
        <f t="shared" si="259"/>
        <v>0</v>
      </c>
      <c r="CH330" s="155">
        <f t="shared" si="259"/>
        <v>0</v>
      </c>
      <c r="CI330" s="155">
        <f t="shared" si="259"/>
        <v>0</v>
      </c>
      <c r="CJ330" s="154">
        <f t="shared" si="259"/>
        <v>0</v>
      </c>
      <c r="CL330" s="16" t="s">
        <v>265</v>
      </c>
      <c r="DB330" s="332">
        <f>'Char Sheet p1'!$AP$44</f>
        <v>0</v>
      </c>
      <c r="DD330" s="332">
        <f>'Char Sheet p1'!$AP$44</f>
        <v>0</v>
      </c>
      <c r="DF330" s="332">
        <f>'Char Sheet p1'!$AP$44</f>
        <v>0</v>
      </c>
      <c r="DH330" s="332">
        <f>'Char Sheet p1'!$AP$44</f>
        <v>0</v>
      </c>
      <c r="DJ330" s="332"/>
      <c r="DL330" s="332">
        <f>'Char Sheet p1'!$AP$44</f>
        <v>0</v>
      </c>
      <c r="DN330" s="32">
        <v>329</v>
      </c>
      <c r="DO330" s="34" t="s">
        <v>704</v>
      </c>
      <c r="DP330" s="38">
        <f t="shared" si="243"/>
        <v>0</v>
      </c>
      <c r="DQ330" s="173" t="str">
        <f t="shared" si="252"/>
        <v>(Stat) 0</v>
      </c>
      <c r="DR330" s="36" t="str">
        <f t="shared" si="253"/>
        <v/>
      </c>
      <c r="DV330" s="176">
        <f t="shared" si="250"/>
        <v>0</v>
      </c>
      <c r="DW330" s="243">
        <f>IF(COUNTIF('Char Sheet p1'!$AP$7:$AP$35,DQ330)=0,0,ROUNDDOWN(SUMIF('Char Sheet p1'!$AP$7:$AP$35,DQ330,'Char Sheet p1'!$AQ$7:$AQ$35)/10,0))</f>
        <v>0</v>
      </c>
      <c r="DX330" s="240">
        <f t="shared" si="254"/>
        <v>0</v>
      </c>
      <c r="DY330" s="36">
        <f t="shared" si="249"/>
        <v>17</v>
      </c>
      <c r="DZ330" s="36" t="str">
        <f t="shared" si="251"/>
        <v/>
      </c>
      <c r="EE330" s="36">
        <f t="shared" si="244"/>
        <v>1</v>
      </c>
    </row>
    <row r="331" spans="41:135">
      <c r="AO331" s="336">
        <f>'Char Sheet p1'!AM43</f>
        <v>0</v>
      </c>
      <c r="AP331" s="153">
        <f t="shared" si="257"/>
        <v>0</v>
      </c>
      <c r="AQ331" s="155">
        <f t="shared" si="257"/>
        <v>0</v>
      </c>
      <c r="AR331" s="155">
        <f t="shared" si="257"/>
        <v>0</v>
      </c>
      <c r="AS331" s="155">
        <f t="shared" si="257"/>
        <v>0</v>
      </c>
      <c r="AT331" s="155">
        <f t="shared" si="257"/>
        <v>0</v>
      </c>
      <c r="AU331" s="155">
        <f t="shared" si="257"/>
        <v>0</v>
      </c>
      <c r="AV331" s="155">
        <f t="shared" si="257"/>
        <v>0</v>
      </c>
      <c r="AW331" s="155">
        <f t="shared" si="257"/>
        <v>0</v>
      </c>
      <c r="AX331" s="155">
        <f t="shared" si="257"/>
        <v>0</v>
      </c>
      <c r="AY331" s="155">
        <f t="shared" si="257"/>
        <v>0</v>
      </c>
      <c r="AZ331" s="155">
        <f t="shared" si="257"/>
        <v>0</v>
      </c>
      <c r="BA331" s="155">
        <f t="shared" si="257"/>
        <v>0</v>
      </c>
      <c r="BB331" s="155">
        <f t="shared" si="257"/>
        <v>0</v>
      </c>
      <c r="BC331" s="155">
        <f t="shared" si="257"/>
        <v>0</v>
      </c>
      <c r="BD331" s="155">
        <f t="shared" si="257"/>
        <v>0</v>
      </c>
      <c r="BE331" s="155">
        <f t="shared" si="257"/>
        <v>0</v>
      </c>
      <c r="BF331" s="155">
        <f t="shared" si="258"/>
        <v>0</v>
      </c>
      <c r="BG331" s="155">
        <f t="shared" si="258"/>
        <v>0</v>
      </c>
      <c r="BH331" s="155">
        <f t="shared" si="258"/>
        <v>0</v>
      </c>
      <c r="BI331" s="155">
        <f t="shared" si="258"/>
        <v>0</v>
      </c>
      <c r="BJ331" s="155">
        <f t="shared" si="258"/>
        <v>0</v>
      </c>
      <c r="BK331" s="155">
        <f t="shared" si="258"/>
        <v>0</v>
      </c>
      <c r="BL331" s="155">
        <f t="shared" si="258"/>
        <v>0</v>
      </c>
      <c r="BM331" s="155">
        <f t="shared" si="258"/>
        <v>0</v>
      </c>
      <c r="BN331" s="155">
        <f t="shared" si="258"/>
        <v>0</v>
      </c>
      <c r="BO331" s="155">
        <f t="shared" si="258"/>
        <v>0</v>
      </c>
      <c r="BP331" s="155">
        <f t="shared" si="258"/>
        <v>0</v>
      </c>
      <c r="BQ331" s="155">
        <f t="shared" si="258"/>
        <v>0</v>
      </c>
      <c r="BR331" s="155">
        <f t="shared" si="258"/>
        <v>0</v>
      </c>
      <c r="BS331" s="155">
        <f t="shared" si="258"/>
        <v>0</v>
      </c>
      <c r="BT331" s="155">
        <f t="shared" si="258"/>
        <v>0</v>
      </c>
      <c r="BU331" s="155">
        <f t="shared" si="258"/>
        <v>0</v>
      </c>
      <c r="BV331" s="155">
        <f t="shared" si="259"/>
        <v>0</v>
      </c>
      <c r="BW331" s="155">
        <f t="shared" si="259"/>
        <v>0</v>
      </c>
      <c r="BX331" s="155">
        <f t="shared" si="259"/>
        <v>0</v>
      </c>
      <c r="BY331" s="155">
        <f t="shared" si="259"/>
        <v>0</v>
      </c>
      <c r="BZ331" s="155">
        <f t="shared" si="259"/>
        <v>0</v>
      </c>
      <c r="CA331" s="155">
        <f t="shared" si="259"/>
        <v>0</v>
      </c>
      <c r="CB331" s="155">
        <f t="shared" si="259"/>
        <v>0</v>
      </c>
      <c r="CC331" s="155">
        <f t="shared" si="259"/>
        <v>0</v>
      </c>
      <c r="CD331" s="155">
        <f t="shared" si="259"/>
        <v>0</v>
      </c>
      <c r="CE331" s="155">
        <f t="shared" si="259"/>
        <v>0</v>
      </c>
      <c r="CF331" s="155">
        <f t="shared" si="259"/>
        <v>0</v>
      </c>
      <c r="CG331" s="155">
        <f t="shared" si="259"/>
        <v>0</v>
      </c>
      <c r="CH331" s="155">
        <f t="shared" si="259"/>
        <v>0</v>
      </c>
      <c r="CI331" s="155">
        <f t="shared" si="259"/>
        <v>0</v>
      </c>
      <c r="CJ331" s="154">
        <f t="shared" si="259"/>
        <v>0</v>
      </c>
      <c r="DB331" s="106">
        <f>'Char Sheet p1'!$AP$45</f>
        <v>0</v>
      </c>
      <c r="DD331" s="106">
        <f>'Char Sheet p1'!$AP$45</f>
        <v>0</v>
      </c>
      <c r="DF331" s="106">
        <f>'Char Sheet p1'!$AP$45</f>
        <v>0</v>
      </c>
      <c r="DH331" s="106">
        <f>'Char Sheet p1'!$AP$45</f>
        <v>0</v>
      </c>
      <c r="DJ331" s="106">
        <f>'Char Sheet p1'!$AP$45</f>
        <v>0</v>
      </c>
      <c r="DL331" s="106"/>
      <c r="DN331" s="32">
        <v>330</v>
      </c>
      <c r="DO331" s="34" t="s">
        <v>704</v>
      </c>
      <c r="DP331" s="38">
        <f t="shared" si="243"/>
        <v>0</v>
      </c>
      <c r="DQ331" s="173" t="str">
        <f t="shared" si="252"/>
        <v>(Stat) 0</v>
      </c>
      <c r="DR331" s="36" t="str">
        <f t="shared" si="253"/>
        <v/>
      </c>
      <c r="DV331" s="176">
        <f t="shared" si="250"/>
        <v>0</v>
      </c>
      <c r="DW331" s="243">
        <f>IF(COUNTIF('Char Sheet p1'!$AP$7:$AP$35,DQ331)=0,0,ROUNDDOWN(SUMIF('Char Sheet p1'!$AP$7:$AP$35,DQ331,'Char Sheet p1'!$AQ$7:$AQ$35)/10,0))</f>
        <v>0</v>
      </c>
      <c r="DX331" s="240">
        <f t="shared" si="254"/>
        <v>0</v>
      </c>
      <c r="DY331" s="36">
        <f t="shared" si="249"/>
        <v>18</v>
      </c>
      <c r="DZ331" s="36" t="str">
        <f t="shared" si="251"/>
        <v/>
      </c>
      <c r="EE331" s="36">
        <f t="shared" si="244"/>
        <v>1</v>
      </c>
    </row>
    <row r="332" spans="41:135">
      <c r="AO332" s="336">
        <f>'Char Sheet p1'!AM44</f>
        <v>0</v>
      </c>
      <c r="AP332" s="153">
        <f t="shared" si="257"/>
        <v>0</v>
      </c>
      <c r="AQ332" s="155">
        <f t="shared" si="257"/>
        <v>0</v>
      </c>
      <c r="AR332" s="155">
        <f t="shared" si="257"/>
        <v>0</v>
      </c>
      <c r="AS332" s="155">
        <f t="shared" si="257"/>
        <v>0</v>
      </c>
      <c r="AT332" s="155">
        <f t="shared" si="257"/>
        <v>0</v>
      </c>
      <c r="AU332" s="155">
        <f t="shared" si="257"/>
        <v>0</v>
      </c>
      <c r="AV332" s="155">
        <f t="shared" si="257"/>
        <v>0</v>
      </c>
      <c r="AW332" s="155">
        <f t="shared" si="257"/>
        <v>0</v>
      </c>
      <c r="AX332" s="155">
        <f t="shared" si="257"/>
        <v>0</v>
      </c>
      <c r="AY332" s="155">
        <f t="shared" si="257"/>
        <v>0</v>
      </c>
      <c r="AZ332" s="155">
        <f t="shared" si="257"/>
        <v>0</v>
      </c>
      <c r="BA332" s="155">
        <f t="shared" si="257"/>
        <v>0</v>
      </c>
      <c r="BB332" s="155">
        <f t="shared" si="257"/>
        <v>0</v>
      </c>
      <c r="BC332" s="155">
        <f t="shared" si="257"/>
        <v>0</v>
      </c>
      <c r="BD332" s="155">
        <f t="shared" si="257"/>
        <v>0</v>
      </c>
      <c r="BE332" s="155">
        <f t="shared" si="257"/>
        <v>0</v>
      </c>
      <c r="BF332" s="155">
        <f t="shared" si="258"/>
        <v>0</v>
      </c>
      <c r="BG332" s="155">
        <f t="shared" si="258"/>
        <v>0</v>
      </c>
      <c r="BH332" s="155">
        <f t="shared" si="258"/>
        <v>0</v>
      </c>
      <c r="BI332" s="155">
        <f t="shared" si="258"/>
        <v>0</v>
      </c>
      <c r="BJ332" s="155">
        <f t="shared" si="258"/>
        <v>0</v>
      </c>
      <c r="BK332" s="155">
        <f t="shared" si="258"/>
        <v>0</v>
      </c>
      <c r="BL332" s="155">
        <f t="shared" si="258"/>
        <v>0</v>
      </c>
      <c r="BM332" s="155">
        <f t="shared" si="258"/>
        <v>0</v>
      </c>
      <c r="BN332" s="155">
        <f t="shared" si="258"/>
        <v>0</v>
      </c>
      <c r="BO332" s="155">
        <f t="shared" si="258"/>
        <v>0</v>
      </c>
      <c r="BP332" s="155">
        <f t="shared" si="258"/>
        <v>0</v>
      </c>
      <c r="BQ332" s="155">
        <f t="shared" si="258"/>
        <v>0</v>
      </c>
      <c r="BR332" s="155">
        <f t="shared" si="258"/>
        <v>0</v>
      </c>
      <c r="BS332" s="155">
        <f t="shared" si="258"/>
        <v>0</v>
      </c>
      <c r="BT332" s="155">
        <f t="shared" si="258"/>
        <v>0</v>
      </c>
      <c r="BU332" s="155">
        <f t="shared" si="258"/>
        <v>0</v>
      </c>
      <c r="BV332" s="155">
        <f t="shared" si="259"/>
        <v>0</v>
      </c>
      <c r="BW332" s="155">
        <f t="shared" si="259"/>
        <v>0</v>
      </c>
      <c r="BX332" s="155">
        <f t="shared" si="259"/>
        <v>0</v>
      </c>
      <c r="BY332" s="155">
        <f t="shared" si="259"/>
        <v>0</v>
      </c>
      <c r="BZ332" s="155">
        <f t="shared" si="259"/>
        <v>0</v>
      </c>
      <c r="CA332" s="155">
        <f t="shared" si="259"/>
        <v>0</v>
      </c>
      <c r="CB332" s="155">
        <f t="shared" si="259"/>
        <v>0</v>
      </c>
      <c r="CC332" s="155">
        <f t="shared" si="259"/>
        <v>0</v>
      </c>
      <c r="CD332" s="155">
        <f t="shared" si="259"/>
        <v>0</v>
      </c>
      <c r="CE332" s="155">
        <f t="shared" si="259"/>
        <v>0</v>
      </c>
      <c r="CF332" s="155">
        <f t="shared" si="259"/>
        <v>0</v>
      </c>
      <c r="CG332" s="155">
        <f t="shared" si="259"/>
        <v>0</v>
      </c>
      <c r="CH332" s="155">
        <f t="shared" si="259"/>
        <v>0</v>
      </c>
      <c r="CI332" s="155">
        <f t="shared" si="259"/>
        <v>0</v>
      </c>
      <c r="CJ332" s="154">
        <f t="shared" si="259"/>
        <v>0</v>
      </c>
      <c r="DB332" s="50" t="str">
        <f>IF(AND(qualityfull=0,DB333=0),nonerange,"Tables!"&amp;ADDRESS(ROW(DB236),COLUMN())&amp;":"&amp;ADDRESS(ROW(DB235)+DB235,COLUMN()))</f>
        <v>Tables!$DB$236:$DB$288</v>
      </c>
      <c r="DD332" s="50" t="str">
        <f>IF(OR(AND(qualityfull=0,DD333=0),DB333=0),nonerange,"Tables!"&amp;ADDRESS(ROW(DD236),COLUMN())&amp;":"&amp;ADDRESS(ROW(DD235)+DD235,COLUMN()))</f>
        <v>Tables!$DE$2</v>
      </c>
      <c r="DF332" s="50" t="str">
        <f>IF(OR(AND(qualityfull=0,DF333=0),DD333=0),nonerange,"Tables!"&amp;ADDRESS(ROW(DF236),COLUMN())&amp;":"&amp;ADDRESS(ROW(DF235)+DF235,COLUMN()))</f>
        <v>Tables!$DE$2</v>
      </c>
      <c r="DH332" s="50" t="str">
        <f>IF(OR(AND(qualityfull=0,DH333=0),DF333=0),nonerange,"Tables!"&amp;ADDRESS(ROW(DH236),COLUMN())&amp;":"&amp;ADDRESS(ROW(DH235)+DH235,COLUMN()))</f>
        <v>Tables!$DE$2</v>
      </c>
      <c r="DJ332" s="50" t="str">
        <f>IF(OR(AND(qualityfull=0,DJ333=0),DH333=0),nonerange,"Tables!"&amp;ADDRESS(ROW(DJ236),COLUMN())&amp;":"&amp;ADDRESS(ROW(DJ235)+DJ235,COLUMN()))</f>
        <v>Tables!$DE$2</v>
      </c>
      <c r="DL332" s="50" t="str">
        <f>IF(OR(AND(qualityfull=0,DL333=0),DJ333=0),nonerange,"Tables!"&amp;ADDRESS(ROW(DL236),COLUMN())&amp;":"&amp;ADDRESS(ROW(DL235)+DL235,COLUMN()))</f>
        <v>Tables!$DE$2</v>
      </c>
      <c r="DN332" s="32">
        <v>331</v>
      </c>
      <c r="DO332" s="34" t="s">
        <v>704</v>
      </c>
      <c r="DP332" s="38">
        <f t="shared" si="243"/>
        <v>0</v>
      </c>
      <c r="DQ332" s="173" t="str">
        <f t="shared" si="252"/>
        <v>(Stat) 0</v>
      </c>
      <c r="DR332" s="36" t="str">
        <f t="shared" si="253"/>
        <v/>
      </c>
      <c r="DV332" s="176">
        <f t="shared" si="250"/>
        <v>0</v>
      </c>
      <c r="DW332" s="243">
        <f>IF(COUNTIF('Char Sheet p1'!$AP$7:$AP$35,DQ332)=0,0,ROUNDDOWN(SUMIF('Char Sheet p1'!$AP$7:$AP$35,DQ332,'Char Sheet p1'!$AQ$7:$AQ$35)/10,0))</f>
        <v>0</v>
      </c>
      <c r="DX332" s="240">
        <f t="shared" si="254"/>
        <v>0</v>
      </c>
      <c r="DY332" s="36">
        <f t="shared" si="249"/>
        <v>19</v>
      </c>
      <c r="DZ332" s="36" t="str">
        <f t="shared" si="251"/>
        <v/>
      </c>
      <c r="EE332" s="36">
        <f t="shared" si="244"/>
        <v>1</v>
      </c>
    </row>
    <row r="333" spans="41:135">
      <c r="AO333" s="337">
        <f>'Char Sheet p1'!AM45</f>
        <v>0</v>
      </c>
      <c r="AP333" s="156">
        <f t="shared" si="257"/>
        <v>0</v>
      </c>
      <c r="AQ333" s="158">
        <f t="shared" si="257"/>
        <v>0</v>
      </c>
      <c r="AR333" s="158">
        <f t="shared" si="257"/>
        <v>0</v>
      </c>
      <c r="AS333" s="158">
        <f t="shared" si="257"/>
        <v>0</v>
      </c>
      <c r="AT333" s="158">
        <f t="shared" si="257"/>
        <v>0</v>
      </c>
      <c r="AU333" s="158">
        <f t="shared" si="257"/>
        <v>0</v>
      </c>
      <c r="AV333" s="158">
        <f t="shared" si="257"/>
        <v>0</v>
      </c>
      <c r="AW333" s="158">
        <f t="shared" si="257"/>
        <v>0</v>
      </c>
      <c r="AX333" s="158">
        <f t="shared" si="257"/>
        <v>0</v>
      </c>
      <c r="AY333" s="158">
        <f t="shared" si="257"/>
        <v>0</v>
      </c>
      <c r="AZ333" s="158">
        <f t="shared" si="257"/>
        <v>0</v>
      </c>
      <c r="BA333" s="158">
        <f t="shared" si="257"/>
        <v>0</v>
      </c>
      <c r="BB333" s="158">
        <f t="shared" si="257"/>
        <v>0</v>
      </c>
      <c r="BC333" s="158">
        <f t="shared" si="257"/>
        <v>0</v>
      </c>
      <c r="BD333" s="158">
        <f t="shared" si="257"/>
        <v>0</v>
      </c>
      <c r="BE333" s="158">
        <f t="shared" si="257"/>
        <v>0</v>
      </c>
      <c r="BF333" s="158">
        <f t="shared" si="258"/>
        <v>0</v>
      </c>
      <c r="BG333" s="158">
        <f t="shared" si="258"/>
        <v>0</v>
      </c>
      <c r="BH333" s="158">
        <f t="shared" si="258"/>
        <v>0</v>
      </c>
      <c r="BI333" s="158">
        <f t="shared" si="258"/>
        <v>0</v>
      </c>
      <c r="BJ333" s="158">
        <f t="shared" si="258"/>
        <v>0</v>
      </c>
      <c r="BK333" s="158">
        <f t="shared" si="258"/>
        <v>0</v>
      </c>
      <c r="BL333" s="158">
        <f t="shared" si="258"/>
        <v>0</v>
      </c>
      <c r="BM333" s="158">
        <f t="shared" si="258"/>
        <v>0</v>
      </c>
      <c r="BN333" s="158">
        <f t="shared" si="258"/>
        <v>0</v>
      </c>
      <c r="BO333" s="158">
        <f t="shared" si="258"/>
        <v>0</v>
      </c>
      <c r="BP333" s="158">
        <f t="shared" si="258"/>
        <v>0</v>
      </c>
      <c r="BQ333" s="158">
        <f t="shared" si="258"/>
        <v>0</v>
      </c>
      <c r="BR333" s="158">
        <f t="shared" si="258"/>
        <v>0</v>
      </c>
      <c r="BS333" s="158">
        <f t="shared" si="258"/>
        <v>0</v>
      </c>
      <c r="BT333" s="158">
        <f t="shared" si="258"/>
        <v>0</v>
      </c>
      <c r="BU333" s="158">
        <f t="shared" si="258"/>
        <v>0</v>
      </c>
      <c r="BV333" s="158">
        <f t="shared" si="259"/>
        <v>0</v>
      </c>
      <c r="BW333" s="158">
        <f t="shared" si="259"/>
        <v>0</v>
      </c>
      <c r="BX333" s="158">
        <f t="shared" si="259"/>
        <v>0</v>
      </c>
      <c r="BY333" s="158">
        <f t="shared" si="259"/>
        <v>0</v>
      </c>
      <c r="BZ333" s="158">
        <f t="shared" si="259"/>
        <v>0</v>
      </c>
      <c r="CA333" s="158">
        <f t="shared" si="259"/>
        <v>0</v>
      </c>
      <c r="CB333" s="158">
        <f t="shared" si="259"/>
        <v>0</v>
      </c>
      <c r="CC333" s="158">
        <f t="shared" si="259"/>
        <v>0</v>
      </c>
      <c r="CD333" s="158">
        <f t="shared" si="259"/>
        <v>0</v>
      </c>
      <c r="CE333" s="158">
        <f t="shared" si="259"/>
        <v>0</v>
      </c>
      <c r="CF333" s="158">
        <f t="shared" si="259"/>
        <v>0</v>
      </c>
      <c r="CG333" s="158">
        <f t="shared" si="259"/>
        <v>0</v>
      </c>
      <c r="CH333" s="158">
        <f t="shared" si="259"/>
        <v>0</v>
      </c>
      <c r="CI333" s="158">
        <f t="shared" si="259"/>
        <v>0</v>
      </c>
      <c r="CJ333" s="157">
        <f t="shared" si="259"/>
        <v>0</v>
      </c>
      <c r="DB333" s="332">
        <f>'Char Sheet p1'!$AP$39</f>
        <v>0</v>
      </c>
      <c r="DD333" s="332">
        <f>'Char Sheet p1'!$AP$41</f>
        <v>0</v>
      </c>
      <c r="DF333" s="332">
        <f>'Char Sheet p1'!$AP$42</f>
        <v>0</v>
      </c>
      <c r="DH333" s="332">
        <f>'Char Sheet p1'!$AP$43</f>
        <v>0</v>
      </c>
      <c r="DJ333" s="332">
        <f>'Char Sheet p1'!$AP$44</f>
        <v>0</v>
      </c>
      <c r="DL333" s="106">
        <f>'Char Sheet p1'!$AP$45</f>
        <v>0</v>
      </c>
      <c r="DN333" s="32">
        <v>332</v>
      </c>
      <c r="DO333" s="34" t="s">
        <v>704</v>
      </c>
      <c r="DP333" s="38">
        <f t="shared" si="243"/>
        <v>0</v>
      </c>
      <c r="DQ333" s="173" t="str">
        <f t="shared" si="252"/>
        <v>(Stat) 0</v>
      </c>
      <c r="DR333" s="36" t="str">
        <f t="shared" si="253"/>
        <v/>
      </c>
      <c r="DV333" s="176">
        <f t="shared" si="250"/>
        <v>0</v>
      </c>
      <c r="DW333" s="243">
        <f>IF(COUNTIF('Char Sheet p1'!$AP$7:$AP$35,DQ333)=0,0,ROUNDDOWN(SUMIF('Char Sheet p1'!$AP$7:$AP$35,DQ333,'Char Sheet p1'!$AQ$7:$AQ$35)/10,0))</f>
        <v>0</v>
      </c>
      <c r="DX333" s="240">
        <f t="shared" si="254"/>
        <v>0</v>
      </c>
      <c r="DY333" s="36">
        <f t="shared" si="249"/>
        <v>20</v>
      </c>
      <c r="DZ333" s="36" t="str">
        <f t="shared" si="251"/>
        <v/>
      </c>
      <c r="EE333" s="36">
        <f t="shared" si="244"/>
        <v>1</v>
      </c>
    </row>
    <row r="334" spans="41:135">
      <c r="DN334" s="32">
        <v>333</v>
      </c>
      <c r="DO334" s="34" t="s">
        <v>704</v>
      </c>
      <c r="DP334" s="38">
        <f t="shared" si="243"/>
        <v>0</v>
      </c>
      <c r="DQ334" s="173" t="str">
        <f t="shared" si="252"/>
        <v>(Stat) 0</v>
      </c>
      <c r="DR334" s="36" t="str">
        <f t="shared" si="253"/>
        <v/>
      </c>
      <c r="DV334" s="176">
        <f t="shared" si="250"/>
        <v>0</v>
      </c>
      <c r="DW334" s="243">
        <f>IF(COUNTIF('Char Sheet p1'!$AP$7:$AP$35,DQ334)=0,0,ROUNDDOWN(SUMIF('Char Sheet p1'!$AP$7:$AP$35,DQ334,'Char Sheet p1'!$AQ$7:$AQ$35)/10,0))</f>
        <v>0</v>
      </c>
      <c r="DX334" s="240">
        <f t="shared" si="254"/>
        <v>0</v>
      </c>
      <c r="DY334" s="36">
        <f t="shared" si="249"/>
        <v>21</v>
      </c>
      <c r="DZ334" s="36" t="str">
        <f t="shared" si="251"/>
        <v/>
      </c>
      <c r="EE334" s="36">
        <f t="shared" si="244"/>
        <v>1</v>
      </c>
    </row>
    <row r="335" spans="41:135">
      <c r="AO335" s="334">
        <f>'Char Sheet p1'!AP39</f>
        <v>0</v>
      </c>
      <c r="AP335" s="150">
        <f t="shared" ref="AP335:BE340" si="260">IF($AO335=0,0,VLOOKUP($AO335,$AG$236:$CJ$318,AP$227,FALSE))</f>
        <v>0</v>
      </c>
      <c r="AQ335" s="152">
        <f t="shared" si="260"/>
        <v>0</v>
      </c>
      <c r="AR335" s="152">
        <f t="shared" si="260"/>
        <v>0</v>
      </c>
      <c r="AS335" s="152">
        <f t="shared" si="260"/>
        <v>0</v>
      </c>
      <c r="AT335" s="152">
        <f t="shared" si="260"/>
        <v>0</v>
      </c>
      <c r="AU335" s="152">
        <f t="shared" si="260"/>
        <v>0</v>
      </c>
      <c r="AV335" s="152">
        <f t="shared" si="260"/>
        <v>0</v>
      </c>
      <c r="AW335" s="152">
        <f t="shared" si="260"/>
        <v>0</v>
      </c>
      <c r="AX335" s="152">
        <f t="shared" si="260"/>
        <v>0</v>
      </c>
      <c r="AY335" s="152">
        <f t="shared" si="260"/>
        <v>0</v>
      </c>
      <c r="AZ335" s="152">
        <f t="shared" si="260"/>
        <v>0</v>
      </c>
      <c r="BA335" s="152">
        <f t="shared" si="260"/>
        <v>0</v>
      </c>
      <c r="BB335" s="152">
        <f t="shared" si="260"/>
        <v>0</v>
      </c>
      <c r="BC335" s="152">
        <f t="shared" si="260"/>
        <v>0</v>
      </c>
      <c r="BD335" s="152">
        <f t="shared" si="260"/>
        <v>0</v>
      </c>
      <c r="BE335" s="152">
        <f t="shared" si="260"/>
        <v>0</v>
      </c>
      <c r="BF335" s="152">
        <f t="shared" ref="BF335:BU340" si="261">IF($AO335=0,0,VLOOKUP($AO335,$AG$236:$CJ$318,BF$227,FALSE))</f>
        <v>0</v>
      </c>
      <c r="BG335" s="152">
        <f t="shared" si="261"/>
        <v>0</v>
      </c>
      <c r="BH335" s="152">
        <f t="shared" si="261"/>
        <v>0</v>
      </c>
      <c r="BI335" s="152">
        <f t="shared" si="261"/>
        <v>0</v>
      </c>
      <c r="BJ335" s="152">
        <f t="shared" si="261"/>
        <v>0</v>
      </c>
      <c r="BK335" s="152">
        <f t="shared" si="261"/>
        <v>0</v>
      </c>
      <c r="BL335" s="152">
        <f t="shared" si="261"/>
        <v>0</v>
      </c>
      <c r="BM335" s="152">
        <f t="shared" si="261"/>
        <v>0</v>
      </c>
      <c r="BN335" s="152">
        <f t="shared" si="261"/>
        <v>0</v>
      </c>
      <c r="BO335" s="152">
        <f t="shared" si="261"/>
        <v>0</v>
      </c>
      <c r="BP335" s="152">
        <f t="shared" si="261"/>
        <v>0</v>
      </c>
      <c r="BQ335" s="152">
        <f t="shared" si="261"/>
        <v>0</v>
      </c>
      <c r="BR335" s="152">
        <f t="shared" si="261"/>
        <v>0</v>
      </c>
      <c r="BS335" s="152">
        <f t="shared" si="261"/>
        <v>0</v>
      </c>
      <c r="BT335" s="152">
        <f t="shared" si="261"/>
        <v>0</v>
      </c>
      <c r="BU335" s="152">
        <f t="shared" si="261"/>
        <v>0</v>
      </c>
      <c r="BV335" s="152">
        <f t="shared" ref="BV335:CJ340" si="262">IF($AO335=0,0,VLOOKUP($AO335,$AG$236:$CJ$318,BV$227,FALSE))</f>
        <v>0</v>
      </c>
      <c r="BW335" s="152">
        <f t="shared" si="262"/>
        <v>0</v>
      </c>
      <c r="BX335" s="152">
        <f t="shared" si="262"/>
        <v>0</v>
      </c>
      <c r="BY335" s="152">
        <f t="shared" si="262"/>
        <v>0</v>
      </c>
      <c r="BZ335" s="152">
        <f t="shared" si="262"/>
        <v>0</v>
      </c>
      <c r="CA335" s="152">
        <f t="shared" si="262"/>
        <v>0</v>
      </c>
      <c r="CB335" s="152">
        <f t="shared" si="262"/>
        <v>0</v>
      </c>
      <c r="CC335" s="152">
        <f t="shared" si="262"/>
        <v>0</v>
      </c>
      <c r="CD335" s="152">
        <f t="shared" si="262"/>
        <v>0</v>
      </c>
      <c r="CE335" s="152">
        <f t="shared" si="262"/>
        <v>0</v>
      </c>
      <c r="CF335" s="152">
        <f t="shared" si="262"/>
        <v>0</v>
      </c>
      <c r="CG335" s="152">
        <f t="shared" si="262"/>
        <v>0</v>
      </c>
      <c r="CH335" s="152">
        <f t="shared" si="262"/>
        <v>0</v>
      </c>
      <c r="CI335" s="152">
        <f t="shared" si="262"/>
        <v>0</v>
      </c>
      <c r="CJ335" s="151">
        <f t="shared" si="262"/>
        <v>0</v>
      </c>
      <c r="DN335" s="32">
        <v>334</v>
      </c>
      <c r="DO335" s="34" t="s">
        <v>704</v>
      </c>
      <c r="DP335" s="38">
        <f t="shared" si="243"/>
        <v>0</v>
      </c>
      <c r="DQ335" s="173" t="str">
        <f t="shared" si="252"/>
        <v>(Stat) 0</v>
      </c>
      <c r="DR335" s="36" t="str">
        <f t="shared" si="253"/>
        <v/>
      </c>
      <c r="DV335" s="176">
        <f t="shared" si="250"/>
        <v>0</v>
      </c>
      <c r="DW335" s="243">
        <f>IF(COUNTIF('Char Sheet p1'!$AP$7:$AP$35,DQ335)=0,0,ROUNDDOWN(SUMIF('Char Sheet p1'!$AP$7:$AP$35,DQ335,'Char Sheet p1'!$AQ$7:$AQ$35)/10,0))</f>
        <v>0</v>
      </c>
      <c r="DX335" s="240">
        <f t="shared" si="254"/>
        <v>0</v>
      </c>
      <c r="DY335" s="36">
        <f t="shared" si="249"/>
        <v>22</v>
      </c>
      <c r="DZ335" s="36" t="str">
        <f t="shared" si="251"/>
        <v/>
      </c>
      <c r="EE335" s="36">
        <f t="shared" si="244"/>
        <v>1</v>
      </c>
    </row>
    <row r="336" spans="41:135">
      <c r="AO336" s="138">
        <f>'Char Sheet p1'!AP41</f>
        <v>0</v>
      </c>
      <c r="AP336" s="153">
        <f t="shared" si="260"/>
        <v>0</v>
      </c>
      <c r="AQ336" s="155">
        <f t="shared" si="260"/>
        <v>0</v>
      </c>
      <c r="AR336" s="155">
        <f t="shared" si="260"/>
        <v>0</v>
      </c>
      <c r="AS336" s="155">
        <f t="shared" si="260"/>
        <v>0</v>
      </c>
      <c r="AT336" s="155">
        <f t="shared" si="260"/>
        <v>0</v>
      </c>
      <c r="AU336" s="155">
        <f t="shared" si="260"/>
        <v>0</v>
      </c>
      <c r="AV336" s="155">
        <f t="shared" si="260"/>
        <v>0</v>
      </c>
      <c r="AW336" s="155">
        <f t="shared" si="260"/>
        <v>0</v>
      </c>
      <c r="AX336" s="155">
        <f t="shared" si="260"/>
        <v>0</v>
      </c>
      <c r="AY336" s="155">
        <f t="shared" si="260"/>
        <v>0</v>
      </c>
      <c r="AZ336" s="155">
        <f t="shared" si="260"/>
        <v>0</v>
      </c>
      <c r="BA336" s="155">
        <f t="shared" si="260"/>
        <v>0</v>
      </c>
      <c r="BB336" s="155">
        <f t="shared" si="260"/>
        <v>0</v>
      </c>
      <c r="BC336" s="155">
        <f t="shared" si="260"/>
        <v>0</v>
      </c>
      <c r="BD336" s="155">
        <f t="shared" si="260"/>
        <v>0</v>
      </c>
      <c r="BE336" s="155">
        <f t="shared" si="260"/>
        <v>0</v>
      </c>
      <c r="BF336" s="155">
        <f t="shared" si="261"/>
        <v>0</v>
      </c>
      <c r="BG336" s="155">
        <f t="shared" si="261"/>
        <v>0</v>
      </c>
      <c r="BH336" s="155">
        <f t="shared" si="261"/>
        <v>0</v>
      </c>
      <c r="BI336" s="155">
        <f t="shared" si="261"/>
        <v>0</v>
      </c>
      <c r="BJ336" s="155">
        <f t="shared" si="261"/>
        <v>0</v>
      </c>
      <c r="BK336" s="155">
        <f t="shared" si="261"/>
        <v>0</v>
      </c>
      <c r="BL336" s="155">
        <f t="shared" si="261"/>
        <v>0</v>
      </c>
      <c r="BM336" s="155">
        <f t="shared" si="261"/>
        <v>0</v>
      </c>
      <c r="BN336" s="155">
        <f t="shared" si="261"/>
        <v>0</v>
      </c>
      <c r="BO336" s="155">
        <f t="shared" si="261"/>
        <v>0</v>
      </c>
      <c r="BP336" s="155">
        <f t="shared" si="261"/>
        <v>0</v>
      </c>
      <c r="BQ336" s="155">
        <f t="shared" si="261"/>
        <v>0</v>
      </c>
      <c r="BR336" s="155">
        <f t="shared" si="261"/>
        <v>0</v>
      </c>
      <c r="BS336" s="155">
        <f t="shared" si="261"/>
        <v>0</v>
      </c>
      <c r="BT336" s="155">
        <f t="shared" si="261"/>
        <v>0</v>
      </c>
      <c r="BU336" s="155">
        <f t="shared" si="261"/>
        <v>0</v>
      </c>
      <c r="BV336" s="155">
        <f t="shared" si="262"/>
        <v>0</v>
      </c>
      <c r="BW336" s="155">
        <f t="shared" si="262"/>
        <v>0</v>
      </c>
      <c r="BX336" s="155">
        <f t="shared" si="262"/>
        <v>0</v>
      </c>
      <c r="BY336" s="155">
        <f t="shared" si="262"/>
        <v>0</v>
      </c>
      <c r="BZ336" s="155">
        <f t="shared" si="262"/>
        <v>0</v>
      </c>
      <c r="CA336" s="155">
        <f t="shared" si="262"/>
        <v>0</v>
      </c>
      <c r="CB336" s="155">
        <f t="shared" si="262"/>
        <v>0</v>
      </c>
      <c r="CC336" s="155">
        <f t="shared" si="262"/>
        <v>0</v>
      </c>
      <c r="CD336" s="155">
        <f t="shared" si="262"/>
        <v>0</v>
      </c>
      <c r="CE336" s="155">
        <f t="shared" si="262"/>
        <v>0</v>
      </c>
      <c r="CF336" s="155">
        <f t="shared" si="262"/>
        <v>0</v>
      </c>
      <c r="CG336" s="155">
        <f t="shared" si="262"/>
        <v>0</v>
      </c>
      <c r="CH336" s="155">
        <f t="shared" si="262"/>
        <v>0</v>
      </c>
      <c r="CI336" s="155">
        <f t="shared" si="262"/>
        <v>0</v>
      </c>
      <c r="CJ336" s="154">
        <f t="shared" si="262"/>
        <v>0</v>
      </c>
      <c r="DN336" s="32">
        <v>335</v>
      </c>
      <c r="DO336" s="34" t="s">
        <v>704</v>
      </c>
      <c r="DP336" s="38">
        <f t="shared" si="243"/>
        <v>0</v>
      </c>
      <c r="DQ336" s="173" t="str">
        <f t="shared" si="252"/>
        <v>(Stat) 0</v>
      </c>
      <c r="DR336" s="36" t="str">
        <f t="shared" si="253"/>
        <v/>
      </c>
      <c r="DV336" s="176">
        <f t="shared" si="250"/>
        <v>0</v>
      </c>
      <c r="DW336" s="243">
        <f>IF(COUNTIF('Char Sheet p1'!$AP$7:$AP$35,DQ336)=0,0,ROUNDDOWN(SUMIF('Char Sheet p1'!$AP$7:$AP$35,DQ336,'Char Sheet p1'!$AQ$7:$AQ$35)/10,0))</f>
        <v>0</v>
      </c>
      <c r="DX336" s="240">
        <f t="shared" si="254"/>
        <v>0</v>
      </c>
      <c r="DY336" s="36">
        <f t="shared" si="249"/>
        <v>23</v>
      </c>
      <c r="DZ336" s="36" t="str">
        <f t="shared" si="251"/>
        <v/>
      </c>
      <c r="EE336" s="36">
        <f t="shared" si="244"/>
        <v>1</v>
      </c>
    </row>
    <row r="337" spans="41:135">
      <c r="AO337" s="138">
        <f>'Char Sheet p1'!AP42</f>
        <v>0</v>
      </c>
      <c r="AP337" s="153">
        <f t="shared" si="260"/>
        <v>0</v>
      </c>
      <c r="AQ337" s="155">
        <f t="shared" si="260"/>
        <v>0</v>
      </c>
      <c r="AR337" s="155">
        <f t="shared" si="260"/>
        <v>0</v>
      </c>
      <c r="AS337" s="155">
        <f t="shared" si="260"/>
        <v>0</v>
      </c>
      <c r="AT337" s="155">
        <f t="shared" si="260"/>
        <v>0</v>
      </c>
      <c r="AU337" s="155">
        <f t="shared" si="260"/>
        <v>0</v>
      </c>
      <c r="AV337" s="155">
        <f t="shared" si="260"/>
        <v>0</v>
      </c>
      <c r="AW337" s="155">
        <f t="shared" si="260"/>
        <v>0</v>
      </c>
      <c r="AX337" s="155">
        <f t="shared" si="260"/>
        <v>0</v>
      </c>
      <c r="AY337" s="155">
        <f t="shared" si="260"/>
        <v>0</v>
      </c>
      <c r="AZ337" s="155">
        <f t="shared" si="260"/>
        <v>0</v>
      </c>
      <c r="BA337" s="155">
        <f t="shared" si="260"/>
        <v>0</v>
      </c>
      <c r="BB337" s="155">
        <f t="shared" si="260"/>
        <v>0</v>
      </c>
      <c r="BC337" s="155">
        <f t="shared" si="260"/>
        <v>0</v>
      </c>
      <c r="BD337" s="155">
        <f t="shared" si="260"/>
        <v>0</v>
      </c>
      <c r="BE337" s="155">
        <f t="shared" si="260"/>
        <v>0</v>
      </c>
      <c r="BF337" s="155">
        <f t="shared" si="261"/>
        <v>0</v>
      </c>
      <c r="BG337" s="155">
        <f t="shared" si="261"/>
        <v>0</v>
      </c>
      <c r="BH337" s="155">
        <f t="shared" si="261"/>
        <v>0</v>
      </c>
      <c r="BI337" s="155">
        <f t="shared" si="261"/>
        <v>0</v>
      </c>
      <c r="BJ337" s="155">
        <f t="shared" si="261"/>
        <v>0</v>
      </c>
      <c r="BK337" s="155">
        <f t="shared" si="261"/>
        <v>0</v>
      </c>
      <c r="BL337" s="155">
        <f t="shared" si="261"/>
        <v>0</v>
      </c>
      <c r="BM337" s="155">
        <f t="shared" si="261"/>
        <v>0</v>
      </c>
      <c r="BN337" s="155">
        <f t="shared" si="261"/>
        <v>0</v>
      </c>
      <c r="BO337" s="155">
        <f t="shared" si="261"/>
        <v>0</v>
      </c>
      <c r="BP337" s="155">
        <f t="shared" si="261"/>
        <v>0</v>
      </c>
      <c r="BQ337" s="155">
        <f t="shared" si="261"/>
        <v>0</v>
      </c>
      <c r="BR337" s="155">
        <f t="shared" si="261"/>
        <v>0</v>
      </c>
      <c r="BS337" s="155">
        <f t="shared" si="261"/>
        <v>0</v>
      </c>
      <c r="BT337" s="155">
        <f t="shared" si="261"/>
        <v>0</v>
      </c>
      <c r="BU337" s="155">
        <f t="shared" si="261"/>
        <v>0</v>
      </c>
      <c r="BV337" s="155">
        <f t="shared" si="262"/>
        <v>0</v>
      </c>
      <c r="BW337" s="155">
        <f t="shared" si="262"/>
        <v>0</v>
      </c>
      <c r="BX337" s="155">
        <f t="shared" si="262"/>
        <v>0</v>
      </c>
      <c r="BY337" s="155">
        <f t="shared" si="262"/>
        <v>0</v>
      </c>
      <c r="BZ337" s="155">
        <f t="shared" si="262"/>
        <v>0</v>
      </c>
      <c r="CA337" s="155">
        <f t="shared" si="262"/>
        <v>0</v>
      </c>
      <c r="CB337" s="155">
        <f t="shared" si="262"/>
        <v>0</v>
      </c>
      <c r="CC337" s="155">
        <f t="shared" si="262"/>
        <v>0</v>
      </c>
      <c r="CD337" s="155">
        <f t="shared" si="262"/>
        <v>0</v>
      </c>
      <c r="CE337" s="155">
        <f t="shared" si="262"/>
        <v>0</v>
      </c>
      <c r="CF337" s="155">
        <f t="shared" si="262"/>
        <v>0</v>
      </c>
      <c r="CG337" s="155">
        <f t="shared" si="262"/>
        <v>0</v>
      </c>
      <c r="CH337" s="155">
        <f t="shared" si="262"/>
        <v>0</v>
      </c>
      <c r="CI337" s="155">
        <f t="shared" si="262"/>
        <v>0</v>
      </c>
      <c r="CJ337" s="154">
        <f t="shared" si="262"/>
        <v>0</v>
      </c>
      <c r="DN337" s="32">
        <v>336</v>
      </c>
      <c r="DO337" s="34" t="s">
        <v>704</v>
      </c>
      <c r="DP337" s="38">
        <f t="shared" si="243"/>
        <v>0</v>
      </c>
      <c r="DQ337" s="173" t="str">
        <f t="shared" si="252"/>
        <v>(Stat) 0</v>
      </c>
      <c r="DR337" s="36" t="str">
        <f t="shared" si="253"/>
        <v/>
      </c>
      <c r="DV337" s="176">
        <f t="shared" si="250"/>
        <v>0</v>
      </c>
      <c r="DW337" s="243">
        <f>IF(COUNTIF('Char Sheet p1'!$AP$7:$AP$35,DQ337)=0,0,ROUNDDOWN(SUMIF('Char Sheet p1'!$AP$7:$AP$35,DQ337,'Char Sheet p1'!$AQ$7:$AQ$35)/10,0))</f>
        <v>0</v>
      </c>
      <c r="DX337" s="240">
        <f t="shared" si="254"/>
        <v>0</v>
      </c>
      <c r="DY337" s="36">
        <f t="shared" si="249"/>
        <v>24</v>
      </c>
      <c r="DZ337" s="36" t="str">
        <f t="shared" si="251"/>
        <v/>
      </c>
      <c r="EE337" s="36">
        <f t="shared" si="244"/>
        <v>1</v>
      </c>
    </row>
    <row r="338" spans="41:135">
      <c r="AO338" s="138">
        <f>'Char Sheet p1'!AP43</f>
        <v>0</v>
      </c>
      <c r="AP338" s="153">
        <f t="shared" si="260"/>
        <v>0</v>
      </c>
      <c r="AQ338" s="155">
        <f t="shared" si="260"/>
        <v>0</v>
      </c>
      <c r="AR338" s="155">
        <f t="shared" si="260"/>
        <v>0</v>
      </c>
      <c r="AS338" s="155">
        <f t="shared" si="260"/>
        <v>0</v>
      </c>
      <c r="AT338" s="155">
        <f t="shared" si="260"/>
        <v>0</v>
      </c>
      <c r="AU338" s="155">
        <f t="shared" si="260"/>
        <v>0</v>
      </c>
      <c r="AV338" s="155">
        <f t="shared" si="260"/>
        <v>0</v>
      </c>
      <c r="AW338" s="155">
        <f t="shared" si="260"/>
        <v>0</v>
      </c>
      <c r="AX338" s="155">
        <f t="shared" si="260"/>
        <v>0</v>
      </c>
      <c r="AY338" s="155">
        <f t="shared" si="260"/>
        <v>0</v>
      </c>
      <c r="AZ338" s="155">
        <f t="shared" si="260"/>
        <v>0</v>
      </c>
      <c r="BA338" s="155">
        <f t="shared" si="260"/>
        <v>0</v>
      </c>
      <c r="BB338" s="155">
        <f t="shared" si="260"/>
        <v>0</v>
      </c>
      <c r="BC338" s="155">
        <f t="shared" si="260"/>
        <v>0</v>
      </c>
      <c r="BD338" s="155">
        <f t="shared" si="260"/>
        <v>0</v>
      </c>
      <c r="BE338" s="155">
        <f t="shared" si="260"/>
        <v>0</v>
      </c>
      <c r="BF338" s="155">
        <f t="shared" si="261"/>
        <v>0</v>
      </c>
      <c r="BG338" s="155">
        <f t="shared" si="261"/>
        <v>0</v>
      </c>
      <c r="BH338" s="155">
        <f t="shared" si="261"/>
        <v>0</v>
      </c>
      <c r="BI338" s="155">
        <f t="shared" si="261"/>
        <v>0</v>
      </c>
      <c r="BJ338" s="155">
        <f t="shared" si="261"/>
        <v>0</v>
      </c>
      <c r="BK338" s="155">
        <f t="shared" si="261"/>
        <v>0</v>
      </c>
      <c r="BL338" s="155">
        <f t="shared" si="261"/>
        <v>0</v>
      </c>
      <c r="BM338" s="155">
        <f t="shared" si="261"/>
        <v>0</v>
      </c>
      <c r="BN338" s="155">
        <f t="shared" si="261"/>
        <v>0</v>
      </c>
      <c r="BO338" s="155">
        <f t="shared" si="261"/>
        <v>0</v>
      </c>
      <c r="BP338" s="155">
        <f t="shared" si="261"/>
        <v>0</v>
      </c>
      <c r="BQ338" s="155">
        <f t="shared" si="261"/>
        <v>0</v>
      </c>
      <c r="BR338" s="155">
        <f t="shared" si="261"/>
        <v>0</v>
      </c>
      <c r="BS338" s="155">
        <f t="shared" si="261"/>
        <v>0</v>
      </c>
      <c r="BT338" s="155">
        <f t="shared" si="261"/>
        <v>0</v>
      </c>
      <c r="BU338" s="155">
        <f t="shared" si="261"/>
        <v>0</v>
      </c>
      <c r="BV338" s="155">
        <f t="shared" si="262"/>
        <v>0</v>
      </c>
      <c r="BW338" s="155">
        <f t="shared" si="262"/>
        <v>0</v>
      </c>
      <c r="BX338" s="155">
        <f t="shared" si="262"/>
        <v>0</v>
      </c>
      <c r="BY338" s="155">
        <f t="shared" si="262"/>
        <v>0</v>
      </c>
      <c r="BZ338" s="155">
        <f t="shared" si="262"/>
        <v>0</v>
      </c>
      <c r="CA338" s="155">
        <f t="shared" si="262"/>
        <v>0</v>
      </c>
      <c r="CB338" s="155">
        <f t="shared" si="262"/>
        <v>0</v>
      </c>
      <c r="CC338" s="155">
        <f t="shared" si="262"/>
        <v>0</v>
      </c>
      <c r="CD338" s="155">
        <f t="shared" si="262"/>
        <v>0</v>
      </c>
      <c r="CE338" s="155">
        <f t="shared" si="262"/>
        <v>0</v>
      </c>
      <c r="CF338" s="155">
        <f t="shared" si="262"/>
        <v>0</v>
      </c>
      <c r="CG338" s="155">
        <f t="shared" si="262"/>
        <v>0</v>
      </c>
      <c r="CH338" s="155">
        <f t="shared" si="262"/>
        <v>0</v>
      </c>
      <c r="CI338" s="155">
        <f t="shared" si="262"/>
        <v>0</v>
      </c>
      <c r="CJ338" s="154">
        <f t="shared" si="262"/>
        <v>0</v>
      </c>
      <c r="DN338" s="32">
        <v>337</v>
      </c>
      <c r="DO338" s="34" t="s">
        <v>704</v>
      </c>
      <c r="DP338" s="38">
        <f t="shared" si="243"/>
        <v>0</v>
      </c>
      <c r="DQ338" s="173" t="str">
        <f t="shared" si="252"/>
        <v>(Stat) 0</v>
      </c>
      <c r="DR338" s="36" t="str">
        <f t="shared" si="253"/>
        <v/>
      </c>
      <c r="DV338" s="176">
        <f t="shared" si="250"/>
        <v>0</v>
      </c>
      <c r="DW338" s="243">
        <f>IF(COUNTIF('Char Sheet p1'!$AP$7:$AP$35,DQ338)=0,0,ROUNDDOWN(SUMIF('Char Sheet p1'!$AP$7:$AP$35,DQ338,'Char Sheet p1'!$AQ$7:$AQ$35)/10,0))</f>
        <v>0</v>
      </c>
      <c r="DX338" s="240">
        <f t="shared" si="254"/>
        <v>0</v>
      </c>
      <c r="DY338" s="36">
        <f t="shared" si="249"/>
        <v>25</v>
      </c>
      <c r="DZ338" s="36" t="str">
        <f t="shared" si="251"/>
        <v/>
      </c>
      <c r="EE338" s="36">
        <f t="shared" si="244"/>
        <v>1</v>
      </c>
    </row>
    <row r="339" spans="41:135">
      <c r="AO339" s="138">
        <f>'Char Sheet p1'!AP44</f>
        <v>0</v>
      </c>
      <c r="AP339" s="153">
        <f t="shared" si="260"/>
        <v>0</v>
      </c>
      <c r="AQ339" s="155">
        <f t="shared" si="260"/>
        <v>0</v>
      </c>
      <c r="AR339" s="155">
        <f t="shared" si="260"/>
        <v>0</v>
      </c>
      <c r="AS339" s="155">
        <f t="shared" si="260"/>
        <v>0</v>
      </c>
      <c r="AT339" s="155">
        <f t="shared" si="260"/>
        <v>0</v>
      </c>
      <c r="AU339" s="155">
        <f t="shared" si="260"/>
        <v>0</v>
      </c>
      <c r="AV339" s="155">
        <f t="shared" si="260"/>
        <v>0</v>
      </c>
      <c r="AW339" s="155">
        <f t="shared" si="260"/>
        <v>0</v>
      </c>
      <c r="AX339" s="155">
        <f t="shared" si="260"/>
        <v>0</v>
      </c>
      <c r="AY339" s="155">
        <f t="shared" si="260"/>
        <v>0</v>
      </c>
      <c r="AZ339" s="155">
        <f t="shared" si="260"/>
        <v>0</v>
      </c>
      <c r="BA339" s="155">
        <f t="shared" si="260"/>
        <v>0</v>
      </c>
      <c r="BB339" s="155">
        <f t="shared" si="260"/>
        <v>0</v>
      </c>
      <c r="BC339" s="155">
        <f t="shared" si="260"/>
        <v>0</v>
      </c>
      <c r="BD339" s="155">
        <f t="shared" si="260"/>
        <v>0</v>
      </c>
      <c r="BE339" s="155">
        <f t="shared" si="260"/>
        <v>0</v>
      </c>
      <c r="BF339" s="155">
        <f t="shared" si="261"/>
        <v>0</v>
      </c>
      <c r="BG339" s="155">
        <f t="shared" si="261"/>
        <v>0</v>
      </c>
      <c r="BH339" s="155">
        <f t="shared" si="261"/>
        <v>0</v>
      </c>
      <c r="BI339" s="155">
        <f t="shared" si="261"/>
        <v>0</v>
      </c>
      <c r="BJ339" s="155">
        <f t="shared" si="261"/>
        <v>0</v>
      </c>
      <c r="BK339" s="155">
        <f t="shared" si="261"/>
        <v>0</v>
      </c>
      <c r="BL339" s="155">
        <f t="shared" si="261"/>
        <v>0</v>
      </c>
      <c r="BM339" s="155">
        <f t="shared" si="261"/>
        <v>0</v>
      </c>
      <c r="BN339" s="155">
        <f t="shared" si="261"/>
        <v>0</v>
      </c>
      <c r="BO339" s="155">
        <f t="shared" si="261"/>
        <v>0</v>
      </c>
      <c r="BP339" s="155">
        <f t="shared" si="261"/>
        <v>0</v>
      </c>
      <c r="BQ339" s="155">
        <f t="shared" si="261"/>
        <v>0</v>
      </c>
      <c r="BR339" s="155">
        <f t="shared" si="261"/>
        <v>0</v>
      </c>
      <c r="BS339" s="155">
        <f t="shared" si="261"/>
        <v>0</v>
      </c>
      <c r="BT339" s="155">
        <f t="shared" si="261"/>
        <v>0</v>
      </c>
      <c r="BU339" s="155">
        <f t="shared" si="261"/>
        <v>0</v>
      </c>
      <c r="BV339" s="155">
        <f t="shared" si="262"/>
        <v>0</v>
      </c>
      <c r="BW339" s="155">
        <f t="shared" si="262"/>
        <v>0</v>
      </c>
      <c r="BX339" s="155">
        <f t="shared" si="262"/>
        <v>0</v>
      </c>
      <c r="BY339" s="155">
        <f t="shared" si="262"/>
        <v>0</v>
      </c>
      <c r="BZ339" s="155">
        <f t="shared" si="262"/>
        <v>0</v>
      </c>
      <c r="CA339" s="155">
        <f t="shared" si="262"/>
        <v>0</v>
      </c>
      <c r="CB339" s="155">
        <f t="shared" si="262"/>
        <v>0</v>
      </c>
      <c r="CC339" s="155">
        <f t="shared" si="262"/>
        <v>0</v>
      </c>
      <c r="CD339" s="155">
        <f t="shared" si="262"/>
        <v>0</v>
      </c>
      <c r="CE339" s="155">
        <f t="shared" si="262"/>
        <v>0</v>
      </c>
      <c r="CF339" s="155">
        <f t="shared" si="262"/>
        <v>0</v>
      </c>
      <c r="CG339" s="155">
        <f t="shared" si="262"/>
        <v>0</v>
      </c>
      <c r="CH339" s="155">
        <f t="shared" si="262"/>
        <v>0</v>
      </c>
      <c r="CI339" s="155">
        <f t="shared" si="262"/>
        <v>0</v>
      </c>
      <c r="CJ339" s="154">
        <f t="shared" si="262"/>
        <v>0</v>
      </c>
      <c r="DN339" s="32">
        <v>338</v>
      </c>
      <c r="DO339" s="34" t="s">
        <v>704</v>
      </c>
      <c r="DP339" s="38">
        <f t="shared" si="243"/>
        <v>0</v>
      </c>
      <c r="DQ339" s="173" t="str">
        <f t="shared" si="252"/>
        <v>(Stat) 0</v>
      </c>
      <c r="DR339" s="36" t="str">
        <f t="shared" si="253"/>
        <v/>
      </c>
      <c r="DV339" s="176">
        <f t="shared" si="250"/>
        <v>0</v>
      </c>
      <c r="DW339" s="243">
        <f>IF(COUNTIF('Char Sheet p1'!$AP$7:$AP$35,DQ339)=0,0,ROUNDDOWN(SUMIF('Char Sheet p1'!$AP$7:$AP$35,DQ339,'Char Sheet p1'!$AQ$7:$AQ$35)/10,0))</f>
        <v>0</v>
      </c>
      <c r="DX339" s="240">
        <f t="shared" si="254"/>
        <v>0</v>
      </c>
      <c r="DY339" s="36">
        <f t="shared" si="249"/>
        <v>26</v>
      </c>
      <c r="DZ339" s="36" t="str">
        <f t="shared" si="251"/>
        <v/>
      </c>
      <c r="EE339" s="55">
        <f t="shared" si="244"/>
        <v>1</v>
      </c>
    </row>
    <row r="340" spans="41:135">
      <c r="AO340" s="139">
        <f>'Char Sheet p1'!AP45</f>
        <v>0</v>
      </c>
      <c r="AP340" s="156">
        <f t="shared" si="260"/>
        <v>0</v>
      </c>
      <c r="AQ340" s="158">
        <f t="shared" si="260"/>
        <v>0</v>
      </c>
      <c r="AR340" s="158">
        <f t="shared" si="260"/>
        <v>0</v>
      </c>
      <c r="AS340" s="158">
        <f t="shared" si="260"/>
        <v>0</v>
      </c>
      <c r="AT340" s="158">
        <f t="shared" si="260"/>
        <v>0</v>
      </c>
      <c r="AU340" s="158">
        <f t="shared" si="260"/>
        <v>0</v>
      </c>
      <c r="AV340" s="158">
        <f t="shared" si="260"/>
        <v>0</v>
      </c>
      <c r="AW340" s="158">
        <f t="shared" si="260"/>
        <v>0</v>
      </c>
      <c r="AX340" s="158">
        <f t="shared" si="260"/>
        <v>0</v>
      </c>
      <c r="AY340" s="158">
        <f t="shared" si="260"/>
        <v>0</v>
      </c>
      <c r="AZ340" s="158">
        <f t="shared" si="260"/>
        <v>0</v>
      </c>
      <c r="BA340" s="158">
        <f t="shared" si="260"/>
        <v>0</v>
      </c>
      <c r="BB340" s="158">
        <f t="shared" si="260"/>
        <v>0</v>
      </c>
      <c r="BC340" s="158">
        <f t="shared" si="260"/>
        <v>0</v>
      </c>
      <c r="BD340" s="158">
        <f t="shared" si="260"/>
        <v>0</v>
      </c>
      <c r="BE340" s="158">
        <f t="shared" si="260"/>
        <v>0</v>
      </c>
      <c r="BF340" s="158">
        <f t="shared" si="261"/>
        <v>0</v>
      </c>
      <c r="BG340" s="158">
        <f t="shared" si="261"/>
        <v>0</v>
      </c>
      <c r="BH340" s="158">
        <f t="shared" si="261"/>
        <v>0</v>
      </c>
      <c r="BI340" s="158">
        <f t="shared" si="261"/>
        <v>0</v>
      </c>
      <c r="BJ340" s="158">
        <f t="shared" si="261"/>
        <v>0</v>
      </c>
      <c r="BK340" s="158">
        <f t="shared" si="261"/>
        <v>0</v>
      </c>
      <c r="BL340" s="158">
        <f t="shared" si="261"/>
        <v>0</v>
      </c>
      <c r="BM340" s="158">
        <f t="shared" si="261"/>
        <v>0</v>
      </c>
      <c r="BN340" s="158">
        <f t="shared" si="261"/>
        <v>0</v>
      </c>
      <c r="BO340" s="158">
        <f t="shared" si="261"/>
        <v>0</v>
      </c>
      <c r="BP340" s="158">
        <f t="shared" si="261"/>
        <v>0</v>
      </c>
      <c r="BQ340" s="158">
        <f t="shared" si="261"/>
        <v>0</v>
      </c>
      <c r="BR340" s="158">
        <f t="shared" si="261"/>
        <v>0</v>
      </c>
      <c r="BS340" s="158">
        <f t="shared" si="261"/>
        <v>0</v>
      </c>
      <c r="BT340" s="158">
        <f t="shared" si="261"/>
        <v>0</v>
      </c>
      <c r="BU340" s="158">
        <f t="shared" si="261"/>
        <v>0</v>
      </c>
      <c r="BV340" s="158">
        <f t="shared" si="262"/>
        <v>0</v>
      </c>
      <c r="BW340" s="158">
        <f t="shared" si="262"/>
        <v>0</v>
      </c>
      <c r="BX340" s="158">
        <f t="shared" si="262"/>
        <v>0</v>
      </c>
      <c r="BY340" s="158">
        <f t="shared" si="262"/>
        <v>0</v>
      </c>
      <c r="BZ340" s="158">
        <f t="shared" si="262"/>
        <v>0</v>
      </c>
      <c r="CA340" s="158">
        <f t="shared" si="262"/>
        <v>0</v>
      </c>
      <c r="CB340" s="158">
        <f t="shared" si="262"/>
        <v>0</v>
      </c>
      <c r="CC340" s="158">
        <f t="shared" si="262"/>
        <v>0</v>
      </c>
      <c r="CD340" s="158">
        <f t="shared" si="262"/>
        <v>0</v>
      </c>
      <c r="CE340" s="158">
        <f t="shared" si="262"/>
        <v>0</v>
      </c>
      <c r="CF340" s="158">
        <f t="shared" si="262"/>
        <v>0</v>
      </c>
      <c r="CG340" s="158">
        <f t="shared" si="262"/>
        <v>0</v>
      </c>
      <c r="CH340" s="158">
        <f t="shared" si="262"/>
        <v>0</v>
      </c>
      <c r="CI340" s="158">
        <f t="shared" si="262"/>
        <v>0</v>
      </c>
      <c r="CJ340" s="157">
        <f t="shared" si="262"/>
        <v>0</v>
      </c>
      <c r="DN340" s="32">
        <v>339</v>
      </c>
      <c r="DO340" s="34" t="s">
        <v>709</v>
      </c>
      <c r="DP340" s="38" t="str">
        <f t="shared" ref="DP340:DP365" si="263">Z2</f>
        <v>Blend In</v>
      </c>
      <c r="DQ340" s="173" t="str">
        <f t="shared" si="252"/>
        <v>(Stea) Blend In</v>
      </c>
      <c r="DR340" s="36">
        <f t="shared" si="253"/>
        <v>339</v>
      </c>
      <c r="DV340" s="176">
        <f t="shared" si="250"/>
        <v>0</v>
      </c>
      <c r="DW340" s="243">
        <f>IF(COUNTIF('Char Sheet p1'!$AP$7:$AP$35,DQ340)=0,0,ROUNDDOWN(SUMIF('Char Sheet p1'!$AP$7:$AP$35,DQ340,'Char Sheet p1'!$AQ$7:$AQ$35)/10,0))</f>
        <v>0</v>
      </c>
      <c r="DX340" s="240">
        <f t="shared" si="254"/>
        <v>0</v>
      </c>
      <c r="DY340" s="36">
        <v>1</v>
      </c>
      <c r="DZ340" s="36" t="str">
        <f t="shared" si="251"/>
        <v/>
      </c>
      <c r="EE340" s="245">
        <f>'Char Sheet p1'!T18</f>
        <v>4</v>
      </c>
    </row>
    <row r="341" spans="41:135">
      <c r="AP341" s="156">
        <f>AP326+SUM(AP328:AP333)+SUM(AP335:AP340)</f>
        <v>0</v>
      </c>
      <c r="AQ341" s="158">
        <f t="shared" ref="AQ341:CJ341" si="264">AQ326+SUM(AQ328:AQ333)+SUM(AQ335:AQ340)</f>
        <v>0</v>
      </c>
      <c r="AR341" s="158">
        <f t="shared" si="264"/>
        <v>0</v>
      </c>
      <c r="AS341" s="158">
        <f t="shared" si="264"/>
        <v>0</v>
      </c>
      <c r="AT341" s="158">
        <f t="shared" si="264"/>
        <v>0</v>
      </c>
      <c r="AU341" s="158">
        <f t="shared" si="264"/>
        <v>0</v>
      </c>
      <c r="AV341" s="158">
        <f t="shared" si="264"/>
        <v>0</v>
      </c>
      <c r="AW341" s="158">
        <f t="shared" si="264"/>
        <v>0</v>
      </c>
      <c r="AX341" s="158">
        <f t="shared" si="264"/>
        <v>0</v>
      </c>
      <c r="AY341" s="158">
        <f t="shared" si="264"/>
        <v>0</v>
      </c>
      <c r="AZ341" s="158">
        <f t="shared" si="264"/>
        <v>0</v>
      </c>
      <c r="BA341" s="158">
        <f t="shared" si="264"/>
        <v>0</v>
      </c>
      <c r="BB341" s="158">
        <f t="shared" si="264"/>
        <v>0</v>
      </c>
      <c r="BC341" s="158">
        <f t="shared" si="264"/>
        <v>0</v>
      </c>
      <c r="BD341" s="158">
        <f t="shared" si="264"/>
        <v>0</v>
      </c>
      <c r="BE341" s="158">
        <f t="shared" si="264"/>
        <v>0</v>
      </c>
      <c r="BF341" s="158">
        <f t="shared" si="264"/>
        <v>0</v>
      </c>
      <c r="BG341" s="158">
        <f t="shared" si="264"/>
        <v>0</v>
      </c>
      <c r="BH341" s="158">
        <f t="shared" si="264"/>
        <v>0</v>
      </c>
      <c r="BI341" s="158">
        <f t="shared" si="264"/>
        <v>0</v>
      </c>
      <c r="BJ341" s="158">
        <f t="shared" si="264"/>
        <v>0</v>
      </c>
      <c r="BK341" s="158">
        <f t="shared" si="264"/>
        <v>0</v>
      </c>
      <c r="BL341" s="158">
        <f t="shared" si="264"/>
        <v>0</v>
      </c>
      <c r="BM341" s="158">
        <f t="shared" si="264"/>
        <v>0</v>
      </c>
      <c r="BN341" s="158">
        <f t="shared" si="264"/>
        <v>0</v>
      </c>
      <c r="BO341" s="158">
        <f t="shared" si="264"/>
        <v>0</v>
      </c>
      <c r="BP341" s="158">
        <f t="shared" si="264"/>
        <v>0</v>
      </c>
      <c r="BQ341" s="158">
        <f t="shared" si="264"/>
        <v>0</v>
      </c>
      <c r="BR341" s="158">
        <f t="shared" si="264"/>
        <v>0</v>
      </c>
      <c r="BS341" s="158">
        <f t="shared" si="264"/>
        <v>0</v>
      </c>
      <c r="BT341" s="158">
        <f t="shared" si="264"/>
        <v>0</v>
      </c>
      <c r="BU341" s="158">
        <f t="shared" si="264"/>
        <v>0</v>
      </c>
      <c r="BV341" s="158">
        <f t="shared" si="264"/>
        <v>0</v>
      </c>
      <c r="BW341" s="158">
        <f t="shared" si="264"/>
        <v>0</v>
      </c>
      <c r="BX341" s="158">
        <f t="shared" si="264"/>
        <v>0</v>
      </c>
      <c r="BY341" s="158">
        <f t="shared" si="264"/>
        <v>0</v>
      </c>
      <c r="BZ341" s="158">
        <f t="shared" si="264"/>
        <v>0</v>
      </c>
      <c r="CA341" s="158">
        <f t="shared" si="264"/>
        <v>0</v>
      </c>
      <c r="CB341" s="158">
        <f t="shared" si="264"/>
        <v>0</v>
      </c>
      <c r="CC341" s="158">
        <f t="shared" si="264"/>
        <v>0</v>
      </c>
      <c r="CD341" s="158">
        <f t="shared" si="264"/>
        <v>0</v>
      </c>
      <c r="CE341" s="158">
        <f t="shared" si="264"/>
        <v>0</v>
      </c>
      <c r="CF341" s="158">
        <f t="shared" si="264"/>
        <v>0</v>
      </c>
      <c r="CG341" s="158">
        <f t="shared" si="264"/>
        <v>0</v>
      </c>
      <c r="CH341" s="158">
        <f t="shared" si="264"/>
        <v>0</v>
      </c>
      <c r="CI341" s="158">
        <f t="shared" si="264"/>
        <v>0</v>
      </c>
      <c r="CJ341" s="157">
        <f t="shared" si="264"/>
        <v>0</v>
      </c>
      <c r="DN341" s="32">
        <v>340</v>
      </c>
      <c r="DO341" s="34" t="s">
        <v>709</v>
      </c>
      <c r="DP341" s="38" t="str">
        <f t="shared" si="263"/>
        <v>Sneak</v>
      </c>
      <c r="DQ341" s="173" t="str">
        <f t="shared" si="252"/>
        <v>(Stea) Sneak</v>
      </c>
      <c r="DR341" s="36">
        <f t="shared" si="253"/>
        <v>340</v>
      </c>
      <c r="DV341" s="176">
        <f t="shared" si="250"/>
        <v>2</v>
      </c>
      <c r="DW341" s="243">
        <f>IF(COUNTIF('Char Sheet p1'!$AP$7:$AP$35,DQ341)=0,0,ROUNDDOWN(SUMIF('Char Sheet p1'!$AP$7:$AP$35,DQ341,'Char Sheet p1'!$AQ$7:$AQ$35)/10,0))</f>
        <v>0</v>
      </c>
      <c r="DX341" s="240">
        <f t="shared" si="254"/>
        <v>2</v>
      </c>
      <c r="DY341" s="36">
        <v>2</v>
      </c>
      <c r="DZ341" s="36">
        <f t="shared" si="251"/>
        <v>2</v>
      </c>
      <c r="EE341" s="36">
        <f>EE340</f>
        <v>4</v>
      </c>
    </row>
    <row r="342" spans="41:135">
      <c r="DN342" s="32">
        <v>341</v>
      </c>
      <c r="DO342" s="34" t="s">
        <v>709</v>
      </c>
      <c r="DP342" s="38">
        <f t="shared" si="263"/>
        <v>0</v>
      </c>
      <c r="DQ342" s="173" t="str">
        <f t="shared" si="252"/>
        <v>(Stea) 0</v>
      </c>
      <c r="DR342" s="36" t="str">
        <f t="shared" si="253"/>
        <v/>
      </c>
      <c r="DV342" s="176">
        <f t="shared" si="250"/>
        <v>0</v>
      </c>
      <c r="DW342" s="243">
        <f>IF(COUNTIF('Char Sheet p1'!$AP$7:$AP$35,DQ342)=0,0,ROUNDDOWN(SUMIF('Char Sheet p1'!$AP$7:$AP$35,DQ342,'Char Sheet p1'!$AQ$7:$AQ$35)/10,0))</f>
        <v>0</v>
      </c>
      <c r="DX342" s="240">
        <f t="shared" si="254"/>
        <v>0</v>
      </c>
      <c r="DY342" s="36">
        <v>3</v>
      </c>
      <c r="DZ342" s="36" t="str">
        <f t="shared" si="251"/>
        <v/>
      </c>
      <c r="EE342" s="36">
        <f t="shared" ref="EE342:EE365" si="265">EE341</f>
        <v>4</v>
      </c>
    </row>
    <row r="343" spans="41:135">
      <c r="DN343" s="32">
        <v>342</v>
      </c>
      <c r="DO343" s="34" t="s">
        <v>709</v>
      </c>
      <c r="DP343" s="38">
        <f t="shared" si="263"/>
        <v>0</v>
      </c>
      <c r="DQ343" s="173" t="str">
        <f t="shared" si="252"/>
        <v>(Stea) 0</v>
      </c>
      <c r="DR343" s="36" t="str">
        <f t="shared" si="253"/>
        <v/>
      </c>
      <c r="DV343" s="176">
        <f t="shared" si="250"/>
        <v>0</v>
      </c>
      <c r="DW343" s="243">
        <f>IF(COUNTIF('Char Sheet p1'!$AP$7:$AP$35,DQ343)=0,0,ROUNDDOWN(SUMIF('Char Sheet p1'!$AP$7:$AP$35,DQ343,'Char Sheet p1'!$AQ$7:$AQ$35)/10,0))</f>
        <v>0</v>
      </c>
      <c r="DX343" s="240">
        <f t="shared" si="254"/>
        <v>0</v>
      </c>
      <c r="DY343" s="36">
        <v>4</v>
      </c>
      <c r="DZ343" s="36" t="str">
        <f t="shared" si="251"/>
        <v/>
      </c>
      <c r="EE343" s="36">
        <f t="shared" si="265"/>
        <v>4</v>
      </c>
    </row>
    <row r="344" spans="41:135">
      <c r="DN344" s="32">
        <v>343</v>
      </c>
      <c r="DO344" s="34" t="s">
        <v>709</v>
      </c>
      <c r="DP344" s="38">
        <f t="shared" si="263"/>
        <v>0</v>
      </c>
      <c r="DQ344" s="173" t="str">
        <f t="shared" si="252"/>
        <v>(Stea) 0</v>
      </c>
      <c r="DR344" s="36" t="str">
        <f t="shared" si="253"/>
        <v/>
      </c>
      <c r="DV344" s="176">
        <f t="shared" si="250"/>
        <v>0</v>
      </c>
      <c r="DW344" s="243">
        <f>IF(COUNTIF('Char Sheet p1'!$AP$7:$AP$35,DQ344)=0,0,ROUNDDOWN(SUMIF('Char Sheet p1'!$AP$7:$AP$35,DQ344,'Char Sheet p1'!$AQ$7:$AQ$35)/10,0))</f>
        <v>0</v>
      </c>
      <c r="DX344" s="240">
        <f t="shared" si="254"/>
        <v>0</v>
      </c>
      <c r="DY344" s="36">
        <f>DY343+1</f>
        <v>5</v>
      </c>
      <c r="DZ344" s="36" t="str">
        <f t="shared" si="251"/>
        <v/>
      </c>
      <c r="EE344" s="36">
        <f t="shared" si="265"/>
        <v>4</v>
      </c>
    </row>
    <row r="345" spans="41:135">
      <c r="DN345" s="32">
        <v>344</v>
      </c>
      <c r="DO345" s="34" t="s">
        <v>709</v>
      </c>
      <c r="DP345" s="38">
        <f t="shared" si="263"/>
        <v>0</v>
      </c>
      <c r="DQ345" s="173" t="str">
        <f t="shared" si="252"/>
        <v>(Stea) 0</v>
      </c>
      <c r="DR345" s="36" t="str">
        <f t="shared" si="253"/>
        <v/>
      </c>
      <c r="DV345" s="176">
        <f t="shared" si="250"/>
        <v>0</v>
      </c>
      <c r="DW345" s="243">
        <f>IF(COUNTIF('Char Sheet p1'!$AP$7:$AP$35,DQ345)=0,0,ROUNDDOWN(SUMIF('Char Sheet p1'!$AP$7:$AP$35,DQ345,'Char Sheet p1'!$AQ$7:$AQ$35)/10,0))</f>
        <v>0</v>
      </c>
      <c r="DX345" s="240">
        <f t="shared" si="254"/>
        <v>0</v>
      </c>
      <c r="DY345" s="36">
        <f t="shared" ref="DY345:DY365" si="266">DY344+1</f>
        <v>6</v>
      </c>
      <c r="DZ345" s="36" t="str">
        <f t="shared" si="251"/>
        <v/>
      </c>
      <c r="EE345" s="36">
        <f t="shared" si="265"/>
        <v>4</v>
      </c>
    </row>
    <row r="346" spans="41:135">
      <c r="DN346" s="32">
        <v>345</v>
      </c>
      <c r="DO346" s="34" t="s">
        <v>709</v>
      </c>
      <c r="DP346" s="38">
        <f t="shared" si="263"/>
        <v>0</v>
      </c>
      <c r="DQ346" s="173" t="str">
        <f t="shared" si="252"/>
        <v>(Stea) 0</v>
      </c>
      <c r="DR346" s="36" t="str">
        <f t="shared" si="253"/>
        <v/>
      </c>
      <c r="DV346" s="176">
        <f t="shared" si="250"/>
        <v>0</v>
      </c>
      <c r="DW346" s="243">
        <f>IF(COUNTIF('Char Sheet p1'!$AP$7:$AP$35,DQ346)=0,0,ROUNDDOWN(SUMIF('Char Sheet p1'!$AP$7:$AP$35,DQ346,'Char Sheet p1'!$AQ$7:$AQ$35)/10,0))</f>
        <v>0</v>
      </c>
      <c r="DX346" s="240">
        <f t="shared" si="254"/>
        <v>0</v>
      </c>
      <c r="DY346" s="36">
        <f t="shared" si="266"/>
        <v>7</v>
      </c>
      <c r="DZ346" s="36" t="str">
        <f t="shared" si="251"/>
        <v/>
      </c>
      <c r="EE346" s="36">
        <f t="shared" si="265"/>
        <v>4</v>
      </c>
    </row>
    <row r="347" spans="41:135">
      <c r="DN347" s="32">
        <v>346</v>
      </c>
      <c r="DO347" s="34" t="s">
        <v>709</v>
      </c>
      <c r="DP347" s="38">
        <f t="shared" si="263"/>
        <v>0</v>
      </c>
      <c r="DQ347" s="173" t="str">
        <f t="shared" si="252"/>
        <v>(Stea) 0</v>
      </c>
      <c r="DR347" s="36" t="str">
        <f t="shared" si="253"/>
        <v/>
      </c>
      <c r="DV347" s="176">
        <f t="shared" si="250"/>
        <v>0</v>
      </c>
      <c r="DW347" s="243">
        <f>IF(COUNTIF('Char Sheet p1'!$AP$7:$AP$35,DQ347)=0,0,ROUNDDOWN(SUMIF('Char Sheet p1'!$AP$7:$AP$35,DQ347,'Char Sheet p1'!$AQ$7:$AQ$35)/10,0))</f>
        <v>0</v>
      </c>
      <c r="DX347" s="240">
        <f t="shared" si="254"/>
        <v>0</v>
      </c>
      <c r="DY347" s="36">
        <f t="shared" si="266"/>
        <v>8</v>
      </c>
      <c r="DZ347" s="36" t="str">
        <f t="shared" si="251"/>
        <v/>
      </c>
      <c r="EE347" s="36">
        <f t="shared" si="265"/>
        <v>4</v>
      </c>
    </row>
    <row r="348" spans="41:135">
      <c r="DN348" s="32">
        <v>347</v>
      </c>
      <c r="DO348" s="34" t="s">
        <v>709</v>
      </c>
      <c r="DP348" s="38">
        <f t="shared" si="263"/>
        <v>0</v>
      </c>
      <c r="DQ348" s="173" t="str">
        <f t="shared" si="252"/>
        <v>(Stea) 0</v>
      </c>
      <c r="DR348" s="36" t="str">
        <f t="shared" si="253"/>
        <v/>
      </c>
      <c r="DV348" s="176">
        <f t="shared" si="250"/>
        <v>0</v>
      </c>
      <c r="DW348" s="243">
        <f>IF(COUNTIF('Char Sheet p1'!$AP$7:$AP$35,DQ348)=0,0,ROUNDDOWN(SUMIF('Char Sheet p1'!$AP$7:$AP$35,DQ348,'Char Sheet p1'!$AQ$7:$AQ$35)/10,0))</f>
        <v>0</v>
      </c>
      <c r="DX348" s="240">
        <f t="shared" si="254"/>
        <v>0</v>
      </c>
      <c r="DY348" s="36">
        <f t="shared" si="266"/>
        <v>9</v>
      </c>
      <c r="DZ348" s="36" t="str">
        <f t="shared" si="251"/>
        <v/>
      </c>
      <c r="EE348" s="36">
        <f t="shared" si="265"/>
        <v>4</v>
      </c>
    </row>
    <row r="349" spans="41:135">
      <c r="DN349" s="32">
        <v>348</v>
      </c>
      <c r="DO349" s="34" t="s">
        <v>709</v>
      </c>
      <c r="DP349" s="38">
        <f t="shared" si="263"/>
        <v>0</v>
      </c>
      <c r="DQ349" s="173" t="str">
        <f t="shared" si="252"/>
        <v>(Stea) 0</v>
      </c>
      <c r="DR349" s="36" t="str">
        <f t="shared" si="253"/>
        <v/>
      </c>
      <c r="DV349" s="176">
        <f t="shared" si="250"/>
        <v>0</v>
      </c>
      <c r="DW349" s="243">
        <f>IF(COUNTIF('Char Sheet p1'!$AP$7:$AP$35,DQ349)=0,0,ROUNDDOWN(SUMIF('Char Sheet p1'!$AP$7:$AP$35,DQ349,'Char Sheet p1'!$AQ$7:$AQ$35)/10,0))</f>
        <v>0</v>
      </c>
      <c r="DX349" s="240">
        <f t="shared" si="254"/>
        <v>0</v>
      </c>
      <c r="DY349" s="36">
        <f t="shared" si="266"/>
        <v>10</v>
      </c>
      <c r="DZ349" s="36" t="str">
        <f t="shared" si="251"/>
        <v/>
      </c>
      <c r="EE349" s="36">
        <f t="shared" si="265"/>
        <v>4</v>
      </c>
    </row>
    <row r="350" spans="41:135">
      <c r="DN350" s="32">
        <v>349</v>
      </c>
      <c r="DO350" s="34" t="s">
        <v>709</v>
      </c>
      <c r="DP350" s="38">
        <f t="shared" si="263"/>
        <v>0</v>
      </c>
      <c r="DQ350" s="173" t="str">
        <f t="shared" si="252"/>
        <v>(Stea) 0</v>
      </c>
      <c r="DR350" s="36" t="str">
        <f t="shared" si="253"/>
        <v/>
      </c>
      <c r="DV350" s="176">
        <f t="shared" si="250"/>
        <v>0</v>
      </c>
      <c r="DW350" s="243">
        <f>IF(COUNTIF('Char Sheet p1'!$AP$7:$AP$35,DQ350)=0,0,ROUNDDOWN(SUMIF('Char Sheet p1'!$AP$7:$AP$35,DQ350,'Char Sheet p1'!$AQ$7:$AQ$35)/10,0))</f>
        <v>0</v>
      </c>
      <c r="DX350" s="240">
        <f t="shared" si="254"/>
        <v>0</v>
      </c>
      <c r="DY350" s="36">
        <f t="shared" si="266"/>
        <v>11</v>
      </c>
      <c r="DZ350" s="36" t="str">
        <f t="shared" si="251"/>
        <v/>
      </c>
      <c r="EE350" s="36">
        <f t="shared" si="265"/>
        <v>4</v>
      </c>
    </row>
    <row r="351" spans="41:135">
      <c r="DN351" s="32">
        <v>350</v>
      </c>
      <c r="DO351" s="34" t="s">
        <v>709</v>
      </c>
      <c r="DP351" s="38">
        <f t="shared" si="263"/>
        <v>0</v>
      </c>
      <c r="DQ351" s="173" t="str">
        <f t="shared" si="252"/>
        <v>(Stea) 0</v>
      </c>
      <c r="DR351" s="36" t="str">
        <f t="shared" si="253"/>
        <v/>
      </c>
      <c r="DV351" s="176">
        <f t="shared" si="250"/>
        <v>0</v>
      </c>
      <c r="DW351" s="243">
        <f>IF(COUNTIF('Char Sheet p1'!$AP$7:$AP$35,DQ351)=0,0,ROUNDDOWN(SUMIF('Char Sheet p1'!$AP$7:$AP$35,DQ351,'Char Sheet p1'!$AQ$7:$AQ$35)/10,0))</f>
        <v>0</v>
      </c>
      <c r="DX351" s="240">
        <f t="shared" si="254"/>
        <v>0</v>
      </c>
      <c r="DY351" s="36">
        <f t="shared" si="266"/>
        <v>12</v>
      </c>
      <c r="DZ351" s="36" t="str">
        <f t="shared" si="251"/>
        <v/>
      </c>
      <c r="EE351" s="36">
        <f t="shared" si="265"/>
        <v>4</v>
      </c>
    </row>
    <row r="352" spans="41:135">
      <c r="DN352" s="32">
        <v>351</v>
      </c>
      <c r="DO352" s="34" t="s">
        <v>709</v>
      </c>
      <c r="DP352" s="38">
        <f t="shared" si="263"/>
        <v>0</v>
      </c>
      <c r="DQ352" s="173" t="str">
        <f t="shared" si="252"/>
        <v>(Stea) 0</v>
      </c>
      <c r="DR352" s="36" t="str">
        <f t="shared" si="253"/>
        <v/>
      </c>
      <c r="DV352" s="176">
        <f t="shared" si="250"/>
        <v>0</v>
      </c>
      <c r="DW352" s="243">
        <f>IF(COUNTIF('Char Sheet p1'!$AP$7:$AP$35,DQ352)=0,0,ROUNDDOWN(SUMIF('Char Sheet p1'!$AP$7:$AP$35,DQ352,'Char Sheet p1'!$AQ$7:$AQ$35)/10,0))</f>
        <v>0</v>
      </c>
      <c r="DX352" s="240">
        <f t="shared" si="254"/>
        <v>0</v>
      </c>
      <c r="DY352" s="36">
        <f t="shared" si="266"/>
        <v>13</v>
      </c>
      <c r="DZ352" s="36" t="str">
        <f t="shared" si="251"/>
        <v/>
      </c>
      <c r="EE352" s="36">
        <f t="shared" si="265"/>
        <v>4</v>
      </c>
    </row>
    <row r="353" spans="118:135">
      <c r="DN353" s="32">
        <v>352</v>
      </c>
      <c r="DO353" s="34" t="s">
        <v>709</v>
      </c>
      <c r="DP353" s="38">
        <f t="shared" si="263"/>
        <v>0</v>
      </c>
      <c r="DQ353" s="173" t="str">
        <f t="shared" si="252"/>
        <v>(Stea) 0</v>
      </c>
      <c r="DR353" s="36" t="str">
        <f t="shared" si="253"/>
        <v/>
      </c>
      <c r="DV353" s="176">
        <f t="shared" si="250"/>
        <v>0</v>
      </c>
      <c r="DW353" s="243">
        <f>IF(COUNTIF('Char Sheet p1'!$AP$7:$AP$35,DQ353)=0,0,ROUNDDOWN(SUMIF('Char Sheet p1'!$AP$7:$AP$35,DQ353,'Char Sheet p1'!$AQ$7:$AQ$35)/10,0))</f>
        <v>0</v>
      </c>
      <c r="DX353" s="240">
        <f t="shared" si="254"/>
        <v>0</v>
      </c>
      <c r="DY353" s="36">
        <f t="shared" si="266"/>
        <v>14</v>
      </c>
      <c r="DZ353" s="36" t="str">
        <f t="shared" si="251"/>
        <v/>
      </c>
      <c r="EE353" s="36">
        <f t="shared" si="265"/>
        <v>4</v>
      </c>
    </row>
    <row r="354" spans="118:135">
      <c r="DN354" s="32">
        <v>353</v>
      </c>
      <c r="DO354" s="34" t="s">
        <v>709</v>
      </c>
      <c r="DP354" s="38">
        <f t="shared" si="263"/>
        <v>0</v>
      </c>
      <c r="DQ354" s="173" t="str">
        <f t="shared" si="252"/>
        <v>(Stea) 0</v>
      </c>
      <c r="DR354" s="36" t="str">
        <f t="shared" si="253"/>
        <v/>
      </c>
      <c r="DV354" s="176">
        <f t="shared" si="250"/>
        <v>0</v>
      </c>
      <c r="DW354" s="243">
        <f>IF(COUNTIF('Char Sheet p1'!$AP$7:$AP$35,DQ354)=0,0,ROUNDDOWN(SUMIF('Char Sheet p1'!$AP$7:$AP$35,DQ354,'Char Sheet p1'!$AQ$7:$AQ$35)/10,0))</f>
        <v>0</v>
      </c>
      <c r="DX354" s="240">
        <f t="shared" si="254"/>
        <v>0</v>
      </c>
      <c r="DY354" s="36">
        <f t="shared" si="266"/>
        <v>15</v>
      </c>
      <c r="DZ354" s="36" t="str">
        <f t="shared" si="251"/>
        <v/>
      </c>
      <c r="EE354" s="36">
        <f t="shared" si="265"/>
        <v>4</v>
      </c>
    </row>
    <row r="355" spans="118:135">
      <c r="DN355" s="32">
        <v>354</v>
      </c>
      <c r="DO355" s="34" t="s">
        <v>709</v>
      </c>
      <c r="DP355" s="38">
        <f t="shared" si="263"/>
        <v>0</v>
      </c>
      <c r="DQ355" s="173" t="str">
        <f t="shared" si="252"/>
        <v>(Stea) 0</v>
      </c>
      <c r="DR355" s="36" t="str">
        <f t="shared" si="253"/>
        <v/>
      </c>
      <c r="DV355" s="176">
        <f t="shared" si="250"/>
        <v>0</v>
      </c>
      <c r="DW355" s="243">
        <f>IF(COUNTIF('Char Sheet p1'!$AP$7:$AP$35,DQ355)=0,0,ROUNDDOWN(SUMIF('Char Sheet p1'!$AP$7:$AP$35,DQ355,'Char Sheet p1'!$AQ$7:$AQ$35)/10,0))</f>
        <v>0</v>
      </c>
      <c r="DX355" s="240">
        <f t="shared" si="254"/>
        <v>0</v>
      </c>
      <c r="DY355" s="36">
        <f t="shared" si="266"/>
        <v>16</v>
      </c>
      <c r="DZ355" s="36" t="str">
        <f t="shared" si="251"/>
        <v/>
      </c>
      <c r="EE355" s="36">
        <f t="shared" si="265"/>
        <v>4</v>
      </c>
    </row>
    <row r="356" spans="118:135">
      <c r="DN356" s="32">
        <v>355</v>
      </c>
      <c r="DO356" s="34" t="s">
        <v>709</v>
      </c>
      <c r="DP356" s="38">
        <f t="shared" si="263"/>
        <v>0</v>
      </c>
      <c r="DQ356" s="173" t="str">
        <f t="shared" si="252"/>
        <v>(Stea) 0</v>
      </c>
      <c r="DR356" s="36" t="str">
        <f t="shared" si="253"/>
        <v/>
      </c>
      <c r="DV356" s="176">
        <f t="shared" si="250"/>
        <v>0</v>
      </c>
      <c r="DW356" s="243">
        <f>IF(COUNTIF('Char Sheet p1'!$AP$7:$AP$35,DQ356)=0,0,ROUNDDOWN(SUMIF('Char Sheet p1'!$AP$7:$AP$35,DQ356,'Char Sheet p1'!$AQ$7:$AQ$35)/10,0))</f>
        <v>0</v>
      </c>
      <c r="DX356" s="240">
        <f t="shared" si="254"/>
        <v>0</v>
      </c>
      <c r="DY356" s="36">
        <f t="shared" si="266"/>
        <v>17</v>
      </c>
      <c r="DZ356" s="36" t="str">
        <f t="shared" si="251"/>
        <v/>
      </c>
      <c r="EE356" s="36">
        <f t="shared" si="265"/>
        <v>4</v>
      </c>
    </row>
    <row r="357" spans="118:135">
      <c r="DN357" s="32">
        <v>356</v>
      </c>
      <c r="DO357" s="34" t="s">
        <v>709</v>
      </c>
      <c r="DP357" s="38">
        <f t="shared" si="263"/>
        <v>0</v>
      </c>
      <c r="DQ357" s="173" t="str">
        <f t="shared" si="252"/>
        <v>(Stea) 0</v>
      </c>
      <c r="DR357" s="36" t="str">
        <f t="shared" si="253"/>
        <v/>
      </c>
      <c r="DV357" s="176">
        <f t="shared" si="250"/>
        <v>0</v>
      </c>
      <c r="DW357" s="243">
        <f>IF(COUNTIF('Char Sheet p1'!$AP$7:$AP$35,DQ357)=0,0,ROUNDDOWN(SUMIF('Char Sheet p1'!$AP$7:$AP$35,DQ357,'Char Sheet p1'!$AQ$7:$AQ$35)/10,0))</f>
        <v>0</v>
      </c>
      <c r="DX357" s="240">
        <f t="shared" si="254"/>
        <v>0</v>
      </c>
      <c r="DY357" s="36">
        <f t="shared" si="266"/>
        <v>18</v>
      </c>
      <c r="DZ357" s="36" t="str">
        <f t="shared" si="251"/>
        <v/>
      </c>
      <c r="EE357" s="36">
        <f t="shared" si="265"/>
        <v>4</v>
      </c>
    </row>
    <row r="358" spans="118:135">
      <c r="DN358" s="32">
        <v>357</v>
      </c>
      <c r="DO358" s="34" t="s">
        <v>709</v>
      </c>
      <c r="DP358" s="38">
        <f t="shared" si="263"/>
        <v>0</v>
      </c>
      <c r="DQ358" s="173" t="str">
        <f t="shared" si="252"/>
        <v>(Stea) 0</v>
      </c>
      <c r="DR358" s="36" t="str">
        <f t="shared" si="253"/>
        <v/>
      </c>
      <c r="DV358" s="176">
        <f t="shared" si="250"/>
        <v>0</v>
      </c>
      <c r="DW358" s="243">
        <f>IF(COUNTIF('Char Sheet p1'!$AP$7:$AP$35,DQ358)=0,0,ROUNDDOWN(SUMIF('Char Sheet p1'!$AP$7:$AP$35,DQ358,'Char Sheet p1'!$AQ$7:$AQ$35)/10,0))</f>
        <v>0</v>
      </c>
      <c r="DX358" s="240">
        <f t="shared" si="254"/>
        <v>0</v>
      </c>
      <c r="DY358" s="36">
        <f t="shared" si="266"/>
        <v>19</v>
      </c>
      <c r="DZ358" s="36" t="str">
        <f t="shared" si="251"/>
        <v/>
      </c>
      <c r="EE358" s="36">
        <f t="shared" si="265"/>
        <v>4</v>
      </c>
    </row>
    <row r="359" spans="118:135">
      <c r="DN359" s="32">
        <v>358</v>
      </c>
      <c r="DO359" s="34" t="s">
        <v>709</v>
      </c>
      <c r="DP359" s="38">
        <f t="shared" si="263"/>
        <v>0</v>
      </c>
      <c r="DQ359" s="173" t="str">
        <f t="shared" si="252"/>
        <v>(Stea) 0</v>
      </c>
      <c r="DR359" s="36" t="str">
        <f t="shared" si="253"/>
        <v/>
      </c>
      <c r="DV359" s="176">
        <f t="shared" si="250"/>
        <v>0</v>
      </c>
      <c r="DW359" s="243">
        <f>IF(COUNTIF('Char Sheet p1'!$AP$7:$AP$35,DQ359)=0,0,ROUNDDOWN(SUMIF('Char Sheet p1'!$AP$7:$AP$35,DQ359,'Char Sheet p1'!$AQ$7:$AQ$35)/10,0))</f>
        <v>0</v>
      </c>
      <c r="DX359" s="240">
        <f t="shared" si="254"/>
        <v>0</v>
      </c>
      <c r="DY359" s="36">
        <f t="shared" si="266"/>
        <v>20</v>
      </c>
      <c r="DZ359" s="36" t="str">
        <f t="shared" si="251"/>
        <v/>
      </c>
      <c r="EE359" s="36">
        <f t="shared" si="265"/>
        <v>4</v>
      </c>
    </row>
    <row r="360" spans="118:135">
      <c r="DN360" s="32">
        <v>359</v>
      </c>
      <c r="DO360" s="34" t="s">
        <v>709</v>
      </c>
      <c r="DP360" s="38">
        <f t="shared" si="263"/>
        <v>0</v>
      </c>
      <c r="DQ360" s="173" t="str">
        <f t="shared" si="252"/>
        <v>(Stea) 0</v>
      </c>
      <c r="DR360" s="36" t="str">
        <f t="shared" si="253"/>
        <v/>
      </c>
      <c r="DV360" s="176">
        <f t="shared" si="250"/>
        <v>0</v>
      </c>
      <c r="DW360" s="243">
        <f>IF(COUNTIF('Char Sheet p1'!$AP$7:$AP$35,DQ360)=0,0,ROUNDDOWN(SUMIF('Char Sheet p1'!$AP$7:$AP$35,DQ360,'Char Sheet p1'!$AQ$7:$AQ$35)/10,0))</f>
        <v>0</v>
      </c>
      <c r="DX360" s="240">
        <f t="shared" si="254"/>
        <v>0</v>
      </c>
      <c r="DY360" s="36">
        <f t="shared" si="266"/>
        <v>21</v>
      </c>
      <c r="DZ360" s="36" t="str">
        <f t="shared" si="251"/>
        <v/>
      </c>
      <c r="EE360" s="36">
        <f t="shared" si="265"/>
        <v>4</v>
      </c>
    </row>
    <row r="361" spans="118:135">
      <c r="DN361" s="32">
        <v>360</v>
      </c>
      <c r="DO361" s="34" t="s">
        <v>709</v>
      </c>
      <c r="DP361" s="38">
        <f t="shared" si="263"/>
        <v>0</v>
      </c>
      <c r="DQ361" s="173" t="str">
        <f t="shared" si="252"/>
        <v>(Stea) 0</v>
      </c>
      <c r="DR361" s="36" t="str">
        <f t="shared" si="253"/>
        <v/>
      </c>
      <c r="DV361" s="176">
        <f t="shared" si="250"/>
        <v>0</v>
      </c>
      <c r="DW361" s="243">
        <f>IF(COUNTIF('Char Sheet p1'!$AP$7:$AP$35,DQ361)=0,0,ROUNDDOWN(SUMIF('Char Sheet p1'!$AP$7:$AP$35,DQ361,'Char Sheet p1'!$AQ$7:$AQ$35)/10,0))</f>
        <v>0</v>
      </c>
      <c r="DX361" s="240">
        <f t="shared" si="254"/>
        <v>0</v>
      </c>
      <c r="DY361" s="36">
        <f t="shared" si="266"/>
        <v>22</v>
      </c>
      <c r="DZ361" s="36" t="str">
        <f t="shared" si="251"/>
        <v/>
      </c>
      <c r="EE361" s="36">
        <f t="shared" si="265"/>
        <v>4</v>
      </c>
    </row>
    <row r="362" spans="118:135">
      <c r="DN362" s="32">
        <v>361</v>
      </c>
      <c r="DO362" s="34" t="s">
        <v>709</v>
      </c>
      <c r="DP362" s="38">
        <f t="shared" si="263"/>
        <v>0</v>
      </c>
      <c r="DQ362" s="173" t="str">
        <f t="shared" si="252"/>
        <v>(Stea) 0</v>
      </c>
      <c r="DR362" s="36" t="str">
        <f t="shared" si="253"/>
        <v/>
      </c>
      <c r="DV362" s="176">
        <f t="shared" si="250"/>
        <v>0</v>
      </c>
      <c r="DW362" s="243">
        <f>IF(COUNTIF('Char Sheet p1'!$AP$7:$AP$35,DQ362)=0,0,ROUNDDOWN(SUMIF('Char Sheet p1'!$AP$7:$AP$35,DQ362,'Char Sheet p1'!$AQ$7:$AQ$35)/10,0))</f>
        <v>0</v>
      </c>
      <c r="DX362" s="240">
        <f t="shared" si="254"/>
        <v>0</v>
      </c>
      <c r="DY362" s="36">
        <f t="shared" si="266"/>
        <v>23</v>
      </c>
      <c r="DZ362" s="36" t="str">
        <f t="shared" si="251"/>
        <v/>
      </c>
      <c r="EE362" s="36">
        <f t="shared" si="265"/>
        <v>4</v>
      </c>
    </row>
    <row r="363" spans="118:135">
      <c r="DN363" s="32">
        <v>362</v>
      </c>
      <c r="DO363" s="34" t="s">
        <v>709</v>
      </c>
      <c r="DP363" s="38">
        <f t="shared" si="263"/>
        <v>0</v>
      </c>
      <c r="DQ363" s="173" t="str">
        <f t="shared" si="252"/>
        <v>(Stea) 0</v>
      </c>
      <c r="DR363" s="36" t="str">
        <f t="shared" si="253"/>
        <v/>
      </c>
      <c r="DV363" s="176">
        <f t="shared" si="250"/>
        <v>0</v>
      </c>
      <c r="DW363" s="243">
        <f>IF(COUNTIF('Char Sheet p1'!$AP$7:$AP$35,DQ363)=0,0,ROUNDDOWN(SUMIF('Char Sheet p1'!$AP$7:$AP$35,DQ363,'Char Sheet p1'!$AQ$7:$AQ$35)/10,0))</f>
        <v>0</v>
      </c>
      <c r="DX363" s="240">
        <f t="shared" si="254"/>
        <v>0</v>
      </c>
      <c r="DY363" s="36">
        <f t="shared" si="266"/>
        <v>24</v>
      </c>
      <c r="DZ363" s="36" t="str">
        <f t="shared" si="251"/>
        <v/>
      </c>
      <c r="EE363" s="36">
        <f t="shared" si="265"/>
        <v>4</v>
      </c>
    </row>
    <row r="364" spans="118:135">
      <c r="DN364" s="32">
        <v>363</v>
      </c>
      <c r="DO364" s="34" t="s">
        <v>709</v>
      </c>
      <c r="DP364" s="38">
        <f t="shared" si="263"/>
        <v>0</v>
      </c>
      <c r="DQ364" s="173" t="str">
        <f t="shared" si="252"/>
        <v>(Stea) 0</v>
      </c>
      <c r="DR364" s="36" t="str">
        <f t="shared" si="253"/>
        <v/>
      </c>
      <c r="DV364" s="176">
        <f t="shared" si="250"/>
        <v>0</v>
      </c>
      <c r="DW364" s="243">
        <f>IF(COUNTIF('Char Sheet p1'!$AP$7:$AP$35,DQ364)=0,0,ROUNDDOWN(SUMIF('Char Sheet p1'!$AP$7:$AP$35,DQ364,'Char Sheet p1'!$AQ$7:$AQ$35)/10,0))</f>
        <v>0</v>
      </c>
      <c r="DX364" s="240">
        <f t="shared" si="254"/>
        <v>0</v>
      </c>
      <c r="DY364" s="36">
        <f t="shared" si="266"/>
        <v>25</v>
      </c>
      <c r="DZ364" s="36" t="str">
        <f t="shared" si="251"/>
        <v/>
      </c>
      <c r="EE364" s="36">
        <f t="shared" si="265"/>
        <v>4</v>
      </c>
    </row>
    <row r="365" spans="118:135">
      <c r="DN365" s="32">
        <v>364</v>
      </c>
      <c r="DO365" s="34" t="s">
        <v>709</v>
      </c>
      <c r="DP365" s="38">
        <f t="shared" si="263"/>
        <v>0</v>
      </c>
      <c r="DQ365" s="173" t="str">
        <f t="shared" si="252"/>
        <v>(Stea) 0</v>
      </c>
      <c r="DR365" s="36" t="str">
        <f t="shared" si="253"/>
        <v/>
      </c>
      <c r="DV365" s="176">
        <f t="shared" si="250"/>
        <v>0</v>
      </c>
      <c r="DW365" s="243">
        <f>IF(COUNTIF('Char Sheet p1'!$AP$7:$AP$35,DQ365)=0,0,ROUNDDOWN(SUMIF('Char Sheet p1'!$AP$7:$AP$35,DQ365,'Char Sheet p1'!$AQ$7:$AQ$35)/10,0))</f>
        <v>0</v>
      </c>
      <c r="DX365" s="240">
        <f t="shared" si="254"/>
        <v>0</v>
      </c>
      <c r="DY365" s="36">
        <f t="shared" si="266"/>
        <v>26</v>
      </c>
      <c r="DZ365" s="36" t="str">
        <f t="shared" si="251"/>
        <v/>
      </c>
      <c r="EE365" s="55">
        <f t="shared" si="265"/>
        <v>4</v>
      </c>
    </row>
    <row r="366" spans="118:135">
      <c r="DN366" s="32">
        <v>365</v>
      </c>
      <c r="DO366" s="34" t="s">
        <v>712</v>
      </c>
      <c r="DP366" s="38" t="str">
        <f t="shared" ref="DP366:DP391" si="267">AA2</f>
        <v>Forage</v>
      </c>
      <c r="DQ366" s="173" t="str">
        <f t="shared" si="252"/>
        <v>(Surv) Forage</v>
      </c>
      <c r="DR366" s="36">
        <f t="shared" si="253"/>
        <v>365</v>
      </c>
      <c r="DV366" s="176">
        <f t="shared" si="250"/>
        <v>1</v>
      </c>
      <c r="DW366" s="243">
        <f>IF(COUNTIF('Char Sheet p1'!$AP$7:$AP$35,DQ366)=0,0,ROUNDDOWN(SUMIF('Char Sheet p1'!$AP$7:$AP$35,DQ366,'Char Sheet p1'!$AQ$7:$AQ$35)/10,0))</f>
        <v>0</v>
      </c>
      <c r="DX366" s="240">
        <f t="shared" si="254"/>
        <v>1</v>
      </c>
      <c r="DY366" s="36">
        <v>1</v>
      </c>
      <c r="DZ366" s="36">
        <f t="shared" si="251"/>
        <v>1</v>
      </c>
      <c r="EE366" s="245">
        <f>'Char Sheet p1'!T21</f>
        <v>3</v>
      </c>
    </row>
    <row r="367" spans="118:135">
      <c r="DN367" s="32">
        <v>366</v>
      </c>
      <c r="DO367" s="34" t="s">
        <v>712</v>
      </c>
      <c r="DP367" s="38" t="str">
        <f t="shared" si="267"/>
        <v>Hunt</v>
      </c>
      <c r="DQ367" s="173" t="str">
        <f t="shared" si="252"/>
        <v>(Surv) Hunt</v>
      </c>
      <c r="DR367" s="36">
        <f t="shared" si="253"/>
        <v>366</v>
      </c>
      <c r="DV367" s="176">
        <f t="shared" si="250"/>
        <v>0</v>
      </c>
      <c r="DW367" s="243">
        <f>IF(COUNTIF('Char Sheet p1'!$AP$7:$AP$35,DQ367)=0,0,ROUNDDOWN(SUMIF('Char Sheet p1'!$AP$7:$AP$35,DQ367,'Char Sheet p1'!$AQ$7:$AQ$35)/10,0))</f>
        <v>0</v>
      </c>
      <c r="DX367" s="240">
        <f t="shared" si="254"/>
        <v>0</v>
      </c>
      <c r="DY367" s="36">
        <v>2</v>
      </c>
      <c r="DZ367" s="36" t="str">
        <f t="shared" si="251"/>
        <v/>
      </c>
      <c r="EE367" s="36">
        <f>EE366</f>
        <v>3</v>
      </c>
    </row>
    <row r="368" spans="118:135">
      <c r="DN368" s="32">
        <v>367</v>
      </c>
      <c r="DO368" s="34" t="s">
        <v>712</v>
      </c>
      <c r="DP368" s="38" t="str">
        <f t="shared" si="267"/>
        <v>Orientation</v>
      </c>
      <c r="DQ368" s="173" t="str">
        <f t="shared" si="252"/>
        <v>(Surv) Orientation</v>
      </c>
      <c r="DR368" s="36">
        <f t="shared" si="253"/>
        <v>367</v>
      </c>
      <c r="DV368" s="176">
        <f t="shared" si="250"/>
        <v>0</v>
      </c>
      <c r="DW368" s="243">
        <f>IF(COUNTIF('Char Sheet p1'!$AP$7:$AP$35,DQ368)=0,0,ROUNDDOWN(SUMIF('Char Sheet p1'!$AP$7:$AP$35,DQ368,'Char Sheet p1'!$AQ$7:$AQ$35)/10,0))</f>
        <v>0</v>
      </c>
      <c r="DX368" s="240">
        <f t="shared" si="254"/>
        <v>0</v>
      </c>
      <c r="DY368" s="36">
        <v>3</v>
      </c>
      <c r="DZ368" s="36" t="str">
        <f t="shared" si="251"/>
        <v/>
      </c>
      <c r="EE368" s="36">
        <f t="shared" ref="EE368:EE391" si="268">EE367</f>
        <v>3</v>
      </c>
    </row>
    <row r="369" spans="118:135">
      <c r="DN369" s="32">
        <v>368</v>
      </c>
      <c r="DO369" s="34" t="s">
        <v>712</v>
      </c>
      <c r="DP369" s="38" t="str">
        <f t="shared" si="267"/>
        <v>Track</v>
      </c>
      <c r="DQ369" s="173" t="str">
        <f t="shared" si="252"/>
        <v>(Surv) Track</v>
      </c>
      <c r="DR369" s="36">
        <f t="shared" si="253"/>
        <v>368</v>
      </c>
      <c r="DV369" s="176">
        <f t="shared" si="250"/>
        <v>0</v>
      </c>
      <c r="DW369" s="243">
        <f>IF(COUNTIF('Char Sheet p1'!$AP$7:$AP$35,DQ369)=0,0,ROUNDDOWN(SUMIF('Char Sheet p1'!$AP$7:$AP$35,DQ369,'Char Sheet p1'!$AQ$7:$AQ$35)/10,0))</f>
        <v>0</v>
      </c>
      <c r="DX369" s="240">
        <f t="shared" si="254"/>
        <v>0</v>
      </c>
      <c r="DY369" s="36">
        <v>4</v>
      </c>
      <c r="DZ369" s="36" t="str">
        <f t="shared" si="251"/>
        <v/>
      </c>
      <c r="EE369" s="36">
        <f t="shared" si="268"/>
        <v>3</v>
      </c>
    </row>
    <row r="370" spans="118:135">
      <c r="DN370" s="32">
        <v>369</v>
      </c>
      <c r="DO370" s="34" t="s">
        <v>712</v>
      </c>
      <c r="DP370" s="38">
        <f t="shared" si="267"/>
        <v>0</v>
      </c>
      <c r="DQ370" s="173" t="str">
        <f t="shared" si="252"/>
        <v>(Surv) 0</v>
      </c>
      <c r="DR370" s="36" t="str">
        <f t="shared" si="253"/>
        <v/>
      </c>
      <c r="DV370" s="176">
        <f t="shared" si="250"/>
        <v>0</v>
      </c>
      <c r="DW370" s="243">
        <f>IF(COUNTIF('Char Sheet p1'!$AP$7:$AP$35,DQ370)=0,0,ROUNDDOWN(SUMIF('Char Sheet p1'!$AP$7:$AP$35,DQ370,'Char Sheet p1'!$AQ$7:$AQ$35)/10,0))</f>
        <v>0</v>
      </c>
      <c r="DX370" s="240">
        <f t="shared" si="254"/>
        <v>0</v>
      </c>
      <c r="DY370" s="36">
        <f>DY369+1</f>
        <v>5</v>
      </c>
      <c r="DZ370" s="36" t="str">
        <f t="shared" si="251"/>
        <v/>
      </c>
      <c r="EE370" s="36">
        <f t="shared" si="268"/>
        <v>3</v>
      </c>
    </row>
    <row r="371" spans="118:135">
      <c r="DN371" s="32">
        <v>370</v>
      </c>
      <c r="DO371" s="34" t="s">
        <v>712</v>
      </c>
      <c r="DP371" s="38">
        <f t="shared" si="267"/>
        <v>0</v>
      </c>
      <c r="DQ371" s="173" t="str">
        <f t="shared" si="252"/>
        <v>(Surv) 0</v>
      </c>
      <c r="DR371" s="36" t="str">
        <f t="shared" si="253"/>
        <v/>
      </c>
      <c r="DV371" s="176">
        <f t="shared" si="250"/>
        <v>0</v>
      </c>
      <c r="DW371" s="243">
        <f>IF(COUNTIF('Char Sheet p1'!$AP$7:$AP$35,DQ371)=0,0,ROUNDDOWN(SUMIF('Char Sheet p1'!$AP$7:$AP$35,DQ371,'Char Sheet p1'!$AQ$7:$AQ$35)/10,0))</f>
        <v>0</v>
      </c>
      <c r="DX371" s="240">
        <f t="shared" si="254"/>
        <v>0</v>
      </c>
      <c r="DY371" s="36">
        <f t="shared" ref="DY371:DY391" si="269">DY370+1</f>
        <v>6</v>
      </c>
      <c r="DZ371" s="36" t="str">
        <f t="shared" si="251"/>
        <v/>
      </c>
      <c r="EE371" s="36">
        <f t="shared" si="268"/>
        <v>3</v>
      </c>
    </row>
    <row r="372" spans="118:135">
      <c r="DN372" s="32">
        <v>371</v>
      </c>
      <c r="DO372" s="34" t="s">
        <v>712</v>
      </c>
      <c r="DP372" s="38">
        <f t="shared" si="267"/>
        <v>0</v>
      </c>
      <c r="DQ372" s="173" t="str">
        <f t="shared" si="252"/>
        <v>(Surv) 0</v>
      </c>
      <c r="DR372" s="36" t="str">
        <f t="shared" si="253"/>
        <v/>
      </c>
      <c r="DV372" s="176">
        <f t="shared" si="250"/>
        <v>0</v>
      </c>
      <c r="DW372" s="243">
        <f>IF(COUNTIF('Char Sheet p1'!$AP$7:$AP$35,DQ372)=0,0,ROUNDDOWN(SUMIF('Char Sheet p1'!$AP$7:$AP$35,DQ372,'Char Sheet p1'!$AQ$7:$AQ$35)/10,0))</f>
        <v>0</v>
      </c>
      <c r="DX372" s="240">
        <f t="shared" si="254"/>
        <v>0</v>
      </c>
      <c r="DY372" s="36">
        <f t="shared" si="269"/>
        <v>7</v>
      </c>
      <c r="DZ372" s="36" t="str">
        <f t="shared" si="251"/>
        <v/>
      </c>
      <c r="EE372" s="36">
        <f t="shared" si="268"/>
        <v>3</v>
      </c>
    </row>
    <row r="373" spans="118:135">
      <c r="DN373" s="32">
        <v>372</v>
      </c>
      <c r="DO373" s="34" t="s">
        <v>712</v>
      </c>
      <c r="DP373" s="38">
        <f t="shared" si="267"/>
        <v>0</v>
      </c>
      <c r="DQ373" s="173" t="str">
        <f t="shared" si="252"/>
        <v>(Surv) 0</v>
      </c>
      <c r="DR373" s="36" t="str">
        <f t="shared" si="253"/>
        <v/>
      </c>
      <c r="DV373" s="176">
        <f t="shared" si="250"/>
        <v>0</v>
      </c>
      <c r="DW373" s="243">
        <f>IF(COUNTIF('Char Sheet p1'!$AP$7:$AP$35,DQ373)=0,0,ROUNDDOWN(SUMIF('Char Sheet p1'!$AP$7:$AP$35,DQ373,'Char Sheet p1'!$AQ$7:$AQ$35)/10,0))</f>
        <v>0</v>
      </c>
      <c r="DX373" s="240">
        <f t="shared" si="254"/>
        <v>0</v>
      </c>
      <c r="DY373" s="36">
        <f t="shared" si="269"/>
        <v>8</v>
      </c>
      <c r="DZ373" s="36" t="str">
        <f t="shared" si="251"/>
        <v/>
      </c>
      <c r="EE373" s="36">
        <f t="shared" si="268"/>
        <v>3</v>
      </c>
    </row>
    <row r="374" spans="118:135">
      <c r="DN374" s="32">
        <v>373</v>
      </c>
      <c r="DO374" s="34" t="s">
        <v>712</v>
      </c>
      <c r="DP374" s="38">
        <f t="shared" si="267"/>
        <v>0</v>
      </c>
      <c r="DQ374" s="173" t="str">
        <f t="shared" si="252"/>
        <v>(Surv) 0</v>
      </c>
      <c r="DR374" s="36" t="str">
        <f t="shared" si="253"/>
        <v/>
      </c>
      <c r="DV374" s="176">
        <f t="shared" si="250"/>
        <v>0</v>
      </c>
      <c r="DW374" s="243">
        <f>IF(COUNTIF('Char Sheet p1'!$AP$7:$AP$35,DQ374)=0,0,ROUNDDOWN(SUMIF('Char Sheet p1'!$AP$7:$AP$35,DQ374,'Char Sheet p1'!$AQ$7:$AQ$35)/10,0))</f>
        <v>0</v>
      </c>
      <c r="DX374" s="240">
        <f t="shared" si="254"/>
        <v>0</v>
      </c>
      <c r="DY374" s="36">
        <f t="shared" si="269"/>
        <v>9</v>
      </c>
      <c r="DZ374" s="36" t="str">
        <f t="shared" si="251"/>
        <v/>
      </c>
      <c r="EE374" s="36">
        <f t="shared" si="268"/>
        <v>3</v>
      </c>
    </row>
    <row r="375" spans="118:135">
      <c r="DN375" s="32">
        <v>374</v>
      </c>
      <c r="DO375" s="34" t="s">
        <v>712</v>
      </c>
      <c r="DP375" s="38">
        <f t="shared" si="267"/>
        <v>0</v>
      </c>
      <c r="DQ375" s="173" t="str">
        <f t="shared" si="252"/>
        <v>(Surv) 0</v>
      </c>
      <c r="DR375" s="36" t="str">
        <f t="shared" si="253"/>
        <v/>
      </c>
      <c r="DV375" s="176">
        <f t="shared" si="250"/>
        <v>0</v>
      </c>
      <c r="DW375" s="243">
        <f>IF(COUNTIF('Char Sheet p1'!$AP$7:$AP$35,DQ375)=0,0,ROUNDDOWN(SUMIF('Char Sheet p1'!$AP$7:$AP$35,DQ375,'Char Sheet p1'!$AQ$7:$AQ$35)/10,0))</f>
        <v>0</v>
      </c>
      <c r="DX375" s="240">
        <f t="shared" si="254"/>
        <v>0</v>
      </c>
      <c r="DY375" s="36">
        <f t="shared" si="269"/>
        <v>10</v>
      </c>
      <c r="DZ375" s="36" t="str">
        <f t="shared" si="251"/>
        <v/>
      </c>
      <c r="EE375" s="36">
        <f t="shared" si="268"/>
        <v>3</v>
      </c>
    </row>
    <row r="376" spans="118:135">
      <c r="DN376" s="32">
        <v>375</v>
      </c>
      <c r="DO376" s="34" t="s">
        <v>712</v>
      </c>
      <c r="DP376" s="38">
        <f t="shared" si="267"/>
        <v>0</v>
      </c>
      <c r="DQ376" s="173" t="str">
        <f t="shared" si="252"/>
        <v>(Surv) 0</v>
      </c>
      <c r="DR376" s="36" t="str">
        <f t="shared" si="253"/>
        <v/>
      </c>
      <c r="DV376" s="176">
        <f t="shared" si="250"/>
        <v>0</v>
      </c>
      <c r="DW376" s="243">
        <f>IF(COUNTIF('Char Sheet p1'!$AP$7:$AP$35,DQ376)=0,0,ROUNDDOWN(SUMIF('Char Sheet p1'!$AP$7:$AP$35,DQ376,'Char Sheet p1'!$AQ$7:$AQ$35)/10,0))</f>
        <v>0</v>
      </c>
      <c r="DX376" s="240">
        <f t="shared" si="254"/>
        <v>0</v>
      </c>
      <c r="DY376" s="36">
        <f t="shared" si="269"/>
        <v>11</v>
      </c>
      <c r="DZ376" s="36" t="str">
        <f t="shared" si="251"/>
        <v/>
      </c>
      <c r="EE376" s="36">
        <f t="shared" si="268"/>
        <v>3</v>
      </c>
    </row>
    <row r="377" spans="118:135">
      <c r="DN377" s="32">
        <v>376</v>
      </c>
      <c r="DO377" s="34" t="s">
        <v>712</v>
      </c>
      <c r="DP377" s="38">
        <f t="shared" si="267"/>
        <v>0</v>
      </c>
      <c r="DQ377" s="173" t="str">
        <f t="shared" si="252"/>
        <v>(Surv) 0</v>
      </c>
      <c r="DR377" s="36" t="str">
        <f t="shared" si="253"/>
        <v/>
      </c>
      <c r="DV377" s="176">
        <f t="shared" si="250"/>
        <v>0</v>
      </c>
      <c r="DW377" s="243">
        <f>IF(COUNTIF('Char Sheet p1'!$AP$7:$AP$35,DQ377)=0,0,ROUNDDOWN(SUMIF('Char Sheet p1'!$AP$7:$AP$35,DQ377,'Char Sheet p1'!$AQ$7:$AQ$35)/10,0))</f>
        <v>0</v>
      </c>
      <c r="DX377" s="240">
        <f t="shared" si="254"/>
        <v>0</v>
      </c>
      <c r="DY377" s="36">
        <f t="shared" si="269"/>
        <v>12</v>
      </c>
      <c r="DZ377" s="36" t="str">
        <f t="shared" si="251"/>
        <v/>
      </c>
      <c r="EE377" s="36">
        <f t="shared" si="268"/>
        <v>3</v>
      </c>
    </row>
    <row r="378" spans="118:135">
      <c r="DN378" s="32">
        <v>377</v>
      </c>
      <c r="DO378" s="34" t="s">
        <v>712</v>
      </c>
      <c r="DP378" s="38">
        <f t="shared" si="267"/>
        <v>0</v>
      </c>
      <c r="DQ378" s="173" t="str">
        <f t="shared" si="252"/>
        <v>(Surv) 0</v>
      </c>
      <c r="DR378" s="36" t="str">
        <f t="shared" si="253"/>
        <v/>
      </c>
      <c r="DV378" s="176">
        <f t="shared" si="250"/>
        <v>0</v>
      </c>
      <c r="DW378" s="243">
        <f>IF(COUNTIF('Char Sheet p1'!$AP$7:$AP$35,DQ378)=0,0,ROUNDDOWN(SUMIF('Char Sheet p1'!$AP$7:$AP$35,DQ378,'Char Sheet p1'!$AQ$7:$AQ$35)/10,0))</f>
        <v>0</v>
      </c>
      <c r="DX378" s="240">
        <f t="shared" si="254"/>
        <v>0</v>
      </c>
      <c r="DY378" s="36">
        <f t="shared" si="269"/>
        <v>13</v>
      </c>
      <c r="DZ378" s="36" t="str">
        <f t="shared" si="251"/>
        <v/>
      </c>
      <c r="EE378" s="36">
        <f t="shared" si="268"/>
        <v>3</v>
      </c>
    </row>
    <row r="379" spans="118:135">
      <c r="DN379" s="32">
        <v>378</v>
      </c>
      <c r="DO379" s="34" t="s">
        <v>712</v>
      </c>
      <c r="DP379" s="38">
        <f t="shared" si="267"/>
        <v>0</v>
      </c>
      <c r="DQ379" s="173" t="str">
        <f t="shared" si="252"/>
        <v>(Surv) 0</v>
      </c>
      <c r="DR379" s="36" t="str">
        <f t="shared" si="253"/>
        <v/>
      </c>
      <c r="DV379" s="176">
        <f t="shared" si="250"/>
        <v>0</v>
      </c>
      <c r="DW379" s="243">
        <f>IF(COUNTIF('Char Sheet p1'!$AP$7:$AP$35,DQ379)=0,0,ROUNDDOWN(SUMIF('Char Sheet p1'!$AP$7:$AP$35,DQ379,'Char Sheet p1'!$AQ$7:$AQ$35)/10,0))</f>
        <v>0</v>
      </c>
      <c r="DX379" s="240">
        <f t="shared" si="254"/>
        <v>0</v>
      </c>
      <c r="DY379" s="36">
        <f t="shared" si="269"/>
        <v>14</v>
      </c>
      <c r="DZ379" s="36" t="str">
        <f t="shared" si="251"/>
        <v/>
      </c>
      <c r="EE379" s="36">
        <f t="shared" si="268"/>
        <v>3</v>
      </c>
    </row>
    <row r="380" spans="118:135">
      <c r="DN380" s="32">
        <v>379</v>
      </c>
      <c r="DO380" s="34" t="s">
        <v>712</v>
      </c>
      <c r="DP380" s="38">
        <f t="shared" si="267"/>
        <v>0</v>
      </c>
      <c r="DQ380" s="173" t="str">
        <f t="shared" si="252"/>
        <v>(Surv) 0</v>
      </c>
      <c r="DR380" s="36" t="str">
        <f t="shared" si="253"/>
        <v/>
      </c>
      <c r="DV380" s="176">
        <f t="shared" si="250"/>
        <v>0</v>
      </c>
      <c r="DW380" s="243">
        <f>IF(COUNTIF('Char Sheet p1'!$AP$7:$AP$35,DQ380)=0,0,ROUNDDOWN(SUMIF('Char Sheet p1'!$AP$7:$AP$35,DQ380,'Char Sheet p1'!$AQ$7:$AQ$35)/10,0))</f>
        <v>0</v>
      </c>
      <c r="DX380" s="240">
        <f t="shared" si="254"/>
        <v>0</v>
      </c>
      <c r="DY380" s="36">
        <f t="shared" si="269"/>
        <v>15</v>
      </c>
      <c r="DZ380" s="36" t="str">
        <f t="shared" si="251"/>
        <v/>
      </c>
      <c r="EE380" s="36">
        <f t="shared" si="268"/>
        <v>3</v>
      </c>
    </row>
    <row r="381" spans="118:135">
      <c r="DN381" s="32">
        <v>380</v>
      </c>
      <c r="DO381" s="34" t="s">
        <v>712</v>
      </c>
      <c r="DP381" s="38">
        <f t="shared" si="267"/>
        <v>0</v>
      </c>
      <c r="DQ381" s="173" t="str">
        <f t="shared" si="252"/>
        <v>(Surv) 0</v>
      </c>
      <c r="DR381" s="36" t="str">
        <f t="shared" si="253"/>
        <v/>
      </c>
      <c r="DV381" s="176">
        <f t="shared" si="250"/>
        <v>0</v>
      </c>
      <c r="DW381" s="243">
        <f>IF(COUNTIF('Char Sheet p1'!$AP$7:$AP$35,DQ381)=0,0,ROUNDDOWN(SUMIF('Char Sheet p1'!$AP$7:$AP$35,DQ381,'Char Sheet p1'!$AQ$7:$AQ$35)/10,0))</f>
        <v>0</v>
      </c>
      <c r="DX381" s="240">
        <f t="shared" si="254"/>
        <v>0</v>
      </c>
      <c r="DY381" s="36">
        <f t="shared" si="269"/>
        <v>16</v>
      </c>
      <c r="DZ381" s="36" t="str">
        <f t="shared" si="251"/>
        <v/>
      </c>
      <c r="EE381" s="36">
        <f t="shared" si="268"/>
        <v>3</v>
      </c>
    </row>
    <row r="382" spans="118:135">
      <c r="DN382" s="32">
        <v>381</v>
      </c>
      <c r="DO382" s="34" t="s">
        <v>712</v>
      </c>
      <c r="DP382" s="38">
        <f t="shared" si="267"/>
        <v>0</v>
      </c>
      <c r="DQ382" s="173" t="str">
        <f t="shared" si="252"/>
        <v>(Surv) 0</v>
      </c>
      <c r="DR382" s="36" t="str">
        <f t="shared" si="253"/>
        <v/>
      </c>
      <c r="DV382" s="176">
        <f t="shared" si="250"/>
        <v>0</v>
      </c>
      <c r="DW382" s="243">
        <f>IF(COUNTIF('Char Sheet p1'!$AP$7:$AP$35,DQ382)=0,0,ROUNDDOWN(SUMIF('Char Sheet p1'!$AP$7:$AP$35,DQ382,'Char Sheet p1'!$AQ$7:$AQ$35)/10,0))</f>
        <v>0</v>
      </c>
      <c r="DX382" s="240">
        <f t="shared" si="254"/>
        <v>0</v>
      </c>
      <c r="DY382" s="36">
        <f t="shared" si="269"/>
        <v>17</v>
      </c>
      <c r="DZ382" s="36" t="str">
        <f t="shared" si="251"/>
        <v/>
      </c>
      <c r="EE382" s="36">
        <f t="shared" si="268"/>
        <v>3</v>
      </c>
    </row>
    <row r="383" spans="118:135">
      <c r="DN383" s="32">
        <v>382</v>
      </c>
      <c r="DO383" s="34" t="s">
        <v>712</v>
      </c>
      <c r="DP383" s="38">
        <f t="shared" si="267"/>
        <v>0</v>
      </c>
      <c r="DQ383" s="173" t="str">
        <f t="shared" si="252"/>
        <v>(Surv) 0</v>
      </c>
      <c r="DR383" s="36" t="str">
        <f t="shared" si="253"/>
        <v/>
      </c>
      <c r="DV383" s="176">
        <f t="shared" si="250"/>
        <v>0</v>
      </c>
      <c r="DW383" s="243">
        <f>IF(COUNTIF('Char Sheet p1'!$AP$7:$AP$35,DQ383)=0,0,ROUNDDOWN(SUMIF('Char Sheet p1'!$AP$7:$AP$35,DQ383,'Char Sheet p1'!$AQ$7:$AQ$35)/10,0))</f>
        <v>0</v>
      </c>
      <c r="DX383" s="240">
        <f t="shared" si="254"/>
        <v>0</v>
      </c>
      <c r="DY383" s="36">
        <f t="shared" si="269"/>
        <v>18</v>
      </c>
      <c r="DZ383" s="36" t="str">
        <f t="shared" si="251"/>
        <v/>
      </c>
      <c r="EE383" s="36">
        <f t="shared" si="268"/>
        <v>3</v>
      </c>
    </row>
    <row r="384" spans="118:135">
      <c r="DN384" s="32">
        <v>383</v>
      </c>
      <c r="DO384" s="34" t="s">
        <v>712</v>
      </c>
      <c r="DP384" s="38">
        <f t="shared" si="267"/>
        <v>0</v>
      </c>
      <c r="DQ384" s="173" t="str">
        <f t="shared" si="252"/>
        <v>(Surv) 0</v>
      </c>
      <c r="DR384" s="36" t="str">
        <f t="shared" si="253"/>
        <v/>
      </c>
      <c r="DV384" s="176">
        <f t="shared" si="250"/>
        <v>0</v>
      </c>
      <c r="DW384" s="243">
        <f>IF(COUNTIF('Char Sheet p1'!$AP$7:$AP$35,DQ384)=0,0,ROUNDDOWN(SUMIF('Char Sheet p1'!$AP$7:$AP$35,DQ384,'Char Sheet p1'!$AQ$7:$AQ$35)/10,0))</f>
        <v>0</v>
      </c>
      <c r="DX384" s="240">
        <f t="shared" si="254"/>
        <v>0</v>
      </c>
      <c r="DY384" s="36">
        <f t="shared" si="269"/>
        <v>19</v>
      </c>
      <c r="DZ384" s="36" t="str">
        <f t="shared" si="251"/>
        <v/>
      </c>
      <c r="EE384" s="36">
        <f t="shared" si="268"/>
        <v>3</v>
      </c>
    </row>
    <row r="385" spans="118:135">
      <c r="DN385" s="32">
        <v>384</v>
      </c>
      <c r="DO385" s="34" t="s">
        <v>712</v>
      </c>
      <c r="DP385" s="38">
        <f t="shared" si="267"/>
        <v>0</v>
      </c>
      <c r="DQ385" s="173" t="str">
        <f t="shared" si="252"/>
        <v>(Surv) 0</v>
      </c>
      <c r="DR385" s="36" t="str">
        <f t="shared" si="253"/>
        <v/>
      </c>
      <c r="DV385" s="176">
        <f t="shared" si="250"/>
        <v>0</v>
      </c>
      <c r="DW385" s="243">
        <f>IF(COUNTIF('Char Sheet p1'!$AP$7:$AP$35,DQ385)=0,0,ROUNDDOWN(SUMIF('Char Sheet p1'!$AP$7:$AP$35,DQ385,'Char Sheet p1'!$AQ$7:$AQ$35)/10,0))</f>
        <v>0</v>
      </c>
      <c r="DX385" s="240">
        <f t="shared" si="254"/>
        <v>0</v>
      </c>
      <c r="DY385" s="36">
        <f t="shared" si="269"/>
        <v>20</v>
      </c>
      <c r="DZ385" s="36" t="str">
        <f t="shared" si="251"/>
        <v/>
      </c>
      <c r="EE385" s="36">
        <f t="shared" si="268"/>
        <v>3</v>
      </c>
    </row>
    <row r="386" spans="118:135">
      <c r="DN386" s="32">
        <v>385</v>
      </c>
      <c r="DO386" s="34" t="s">
        <v>712</v>
      </c>
      <c r="DP386" s="38">
        <f t="shared" si="267"/>
        <v>0</v>
      </c>
      <c r="DQ386" s="173" t="str">
        <f t="shared" si="252"/>
        <v>(Surv) 0</v>
      </c>
      <c r="DR386" s="36" t="str">
        <f t="shared" si="253"/>
        <v/>
      </c>
      <c r="DV386" s="176">
        <f t="shared" ref="DV386:DV449" si="270">IF(DP386=0,0,SUMIF($DT$2:$DT$58,DP386,$DU$2:$DU$58))</f>
        <v>0</v>
      </c>
      <c r="DW386" s="243">
        <f>IF(COUNTIF('Char Sheet p1'!$AP$7:$AP$35,DQ386)=0,0,ROUNDDOWN(SUMIF('Char Sheet p1'!$AP$7:$AP$35,DQ386,'Char Sheet p1'!$AQ$7:$AQ$35)/10,0))</f>
        <v>0</v>
      </c>
      <c r="DX386" s="240">
        <f t="shared" si="254"/>
        <v>0</v>
      </c>
      <c r="DY386" s="36">
        <f t="shared" si="269"/>
        <v>21</v>
      </c>
      <c r="DZ386" s="36" t="str">
        <f t="shared" ref="DZ386:DZ449" si="271">IF(DX386=0,"",IF(endchargen=0,"",DY386))</f>
        <v/>
      </c>
      <c r="EE386" s="36">
        <f t="shared" si="268"/>
        <v>3</v>
      </c>
    </row>
    <row r="387" spans="118:135">
      <c r="DN387" s="32">
        <v>386</v>
      </c>
      <c r="DO387" s="34" t="s">
        <v>712</v>
      </c>
      <c r="DP387" s="38">
        <f t="shared" si="267"/>
        <v>0</v>
      </c>
      <c r="DQ387" s="173" t="str">
        <f t="shared" ref="DQ387:DQ450" si="272">"("&amp;LEFT(DO387,4)&amp;") "&amp;DP387</f>
        <v>(Surv) 0</v>
      </c>
      <c r="DR387" s="36" t="str">
        <f t="shared" ref="DR387:DR450" si="273">IF(DP387=0,"",DN387)</f>
        <v/>
      </c>
      <c r="DV387" s="176">
        <f t="shared" si="270"/>
        <v>0</v>
      </c>
      <c r="DW387" s="243">
        <f>IF(COUNTIF('Char Sheet p1'!$AP$7:$AP$35,DQ387)=0,0,ROUNDDOWN(SUMIF('Char Sheet p1'!$AP$7:$AP$35,DQ387,'Char Sheet p1'!$AQ$7:$AQ$35)/10,0))</f>
        <v>0</v>
      </c>
      <c r="DX387" s="240">
        <f t="shared" ref="DX387:DX450" si="274">DW387+DV387</f>
        <v>0</v>
      </c>
      <c r="DY387" s="36">
        <f t="shared" si="269"/>
        <v>22</v>
      </c>
      <c r="DZ387" s="36" t="str">
        <f t="shared" si="271"/>
        <v/>
      </c>
      <c r="EE387" s="36">
        <f t="shared" si="268"/>
        <v>3</v>
      </c>
    </row>
    <row r="388" spans="118:135">
      <c r="DN388" s="32">
        <v>387</v>
      </c>
      <c r="DO388" s="34" t="s">
        <v>712</v>
      </c>
      <c r="DP388" s="38">
        <f t="shared" si="267"/>
        <v>0</v>
      </c>
      <c r="DQ388" s="173" t="str">
        <f t="shared" si="272"/>
        <v>(Surv) 0</v>
      </c>
      <c r="DR388" s="36" t="str">
        <f t="shared" si="273"/>
        <v/>
      </c>
      <c r="DV388" s="176">
        <f t="shared" si="270"/>
        <v>0</v>
      </c>
      <c r="DW388" s="243">
        <f>IF(COUNTIF('Char Sheet p1'!$AP$7:$AP$35,DQ388)=0,0,ROUNDDOWN(SUMIF('Char Sheet p1'!$AP$7:$AP$35,DQ388,'Char Sheet p1'!$AQ$7:$AQ$35)/10,0))</f>
        <v>0</v>
      </c>
      <c r="DX388" s="240">
        <f t="shared" si="274"/>
        <v>0</v>
      </c>
      <c r="DY388" s="36">
        <f t="shared" si="269"/>
        <v>23</v>
      </c>
      <c r="DZ388" s="36" t="str">
        <f t="shared" si="271"/>
        <v/>
      </c>
      <c r="EE388" s="36">
        <f t="shared" si="268"/>
        <v>3</v>
      </c>
    </row>
    <row r="389" spans="118:135">
      <c r="DN389" s="32">
        <v>388</v>
      </c>
      <c r="DO389" s="34" t="s">
        <v>712</v>
      </c>
      <c r="DP389" s="38">
        <f t="shared" si="267"/>
        <v>0</v>
      </c>
      <c r="DQ389" s="173" t="str">
        <f t="shared" si="272"/>
        <v>(Surv) 0</v>
      </c>
      <c r="DR389" s="36" t="str">
        <f t="shared" si="273"/>
        <v/>
      </c>
      <c r="DV389" s="176">
        <f t="shared" si="270"/>
        <v>0</v>
      </c>
      <c r="DW389" s="243">
        <f>IF(COUNTIF('Char Sheet p1'!$AP$7:$AP$35,DQ389)=0,0,ROUNDDOWN(SUMIF('Char Sheet p1'!$AP$7:$AP$35,DQ389,'Char Sheet p1'!$AQ$7:$AQ$35)/10,0))</f>
        <v>0</v>
      </c>
      <c r="DX389" s="240">
        <f t="shared" si="274"/>
        <v>0</v>
      </c>
      <c r="DY389" s="36">
        <f t="shared" si="269"/>
        <v>24</v>
      </c>
      <c r="DZ389" s="36" t="str">
        <f t="shared" si="271"/>
        <v/>
      </c>
      <c r="EE389" s="36">
        <f t="shared" si="268"/>
        <v>3</v>
      </c>
    </row>
    <row r="390" spans="118:135">
      <c r="DN390" s="32">
        <v>389</v>
      </c>
      <c r="DO390" s="34" t="s">
        <v>712</v>
      </c>
      <c r="DP390" s="38">
        <f t="shared" si="267"/>
        <v>0</v>
      </c>
      <c r="DQ390" s="173" t="str">
        <f t="shared" si="272"/>
        <v>(Surv) 0</v>
      </c>
      <c r="DR390" s="36" t="str">
        <f t="shared" si="273"/>
        <v/>
      </c>
      <c r="DV390" s="176">
        <f t="shared" si="270"/>
        <v>0</v>
      </c>
      <c r="DW390" s="243">
        <f>IF(COUNTIF('Char Sheet p1'!$AP$7:$AP$35,DQ390)=0,0,ROUNDDOWN(SUMIF('Char Sheet p1'!$AP$7:$AP$35,DQ390,'Char Sheet p1'!$AQ$7:$AQ$35)/10,0))</f>
        <v>0</v>
      </c>
      <c r="DX390" s="240">
        <f t="shared" si="274"/>
        <v>0</v>
      </c>
      <c r="DY390" s="36">
        <f t="shared" si="269"/>
        <v>25</v>
      </c>
      <c r="DZ390" s="36" t="str">
        <f t="shared" si="271"/>
        <v/>
      </c>
      <c r="EE390" s="36">
        <f t="shared" si="268"/>
        <v>3</v>
      </c>
    </row>
    <row r="391" spans="118:135">
      <c r="DN391" s="32">
        <v>390</v>
      </c>
      <c r="DO391" s="34" t="s">
        <v>712</v>
      </c>
      <c r="DP391" s="38">
        <f t="shared" si="267"/>
        <v>0</v>
      </c>
      <c r="DQ391" s="173" t="str">
        <f t="shared" si="272"/>
        <v>(Surv) 0</v>
      </c>
      <c r="DR391" s="36" t="str">
        <f t="shared" si="273"/>
        <v/>
      </c>
      <c r="DV391" s="176">
        <f t="shared" si="270"/>
        <v>0</v>
      </c>
      <c r="DW391" s="243">
        <f>IF(COUNTIF('Char Sheet p1'!$AP$7:$AP$35,DQ391)=0,0,ROUNDDOWN(SUMIF('Char Sheet p1'!$AP$7:$AP$35,DQ391,'Char Sheet p1'!$AQ$7:$AQ$35)/10,0))</f>
        <v>0</v>
      </c>
      <c r="DX391" s="240">
        <f t="shared" si="274"/>
        <v>0</v>
      </c>
      <c r="DY391" s="36">
        <f t="shared" si="269"/>
        <v>26</v>
      </c>
      <c r="DZ391" s="36" t="str">
        <f t="shared" si="271"/>
        <v/>
      </c>
      <c r="EE391" s="55">
        <f t="shared" si="268"/>
        <v>3</v>
      </c>
    </row>
    <row r="392" spans="118:135">
      <c r="DN392" s="32">
        <v>391</v>
      </c>
      <c r="DO392" s="34" t="s">
        <v>717</v>
      </c>
      <c r="DP392" s="38" t="str">
        <f t="shared" ref="DP392:DP417" si="275">AB2</f>
        <v>Pick Lock</v>
      </c>
      <c r="DQ392" s="173" t="str">
        <f t="shared" si="272"/>
        <v>(Thie) Pick Lock</v>
      </c>
      <c r="DR392" s="36">
        <f t="shared" si="273"/>
        <v>391</v>
      </c>
      <c r="DV392" s="176">
        <f t="shared" si="270"/>
        <v>0</v>
      </c>
      <c r="DW392" s="243">
        <f>IF(COUNTIF('Char Sheet p1'!$AP$7:$AP$35,DQ392)=0,0,ROUNDDOWN(SUMIF('Char Sheet p1'!$AP$7:$AP$35,DQ392,'Char Sheet p1'!$AQ$7:$AQ$35)/10,0))</f>
        <v>0</v>
      </c>
      <c r="DX392" s="240">
        <f t="shared" si="274"/>
        <v>0</v>
      </c>
      <c r="DY392" s="36">
        <v>1</v>
      </c>
      <c r="DZ392" s="36" t="str">
        <f t="shared" si="271"/>
        <v/>
      </c>
      <c r="EE392" s="245">
        <f>'Char Sheet p1'!T24</f>
        <v>4</v>
      </c>
    </row>
    <row r="393" spans="118:135">
      <c r="DN393" s="32">
        <v>392</v>
      </c>
      <c r="DO393" s="34" t="s">
        <v>717</v>
      </c>
      <c r="DP393" s="38" t="str">
        <f t="shared" si="275"/>
        <v>Sleight of Hand</v>
      </c>
      <c r="DQ393" s="173" t="str">
        <f t="shared" si="272"/>
        <v>(Thie) Sleight of Hand</v>
      </c>
      <c r="DR393" s="36">
        <f t="shared" si="273"/>
        <v>392</v>
      </c>
      <c r="DV393" s="176">
        <f t="shared" si="270"/>
        <v>0</v>
      </c>
      <c r="DW393" s="243">
        <f>IF(COUNTIF('Char Sheet p1'!$AP$7:$AP$35,DQ393)=0,0,ROUNDDOWN(SUMIF('Char Sheet p1'!$AP$7:$AP$35,DQ393,'Char Sheet p1'!$AQ$7:$AQ$35)/10,0))</f>
        <v>0</v>
      </c>
      <c r="DX393" s="240">
        <f t="shared" si="274"/>
        <v>0</v>
      </c>
      <c r="DY393" s="36">
        <v>2</v>
      </c>
      <c r="DZ393" s="36" t="str">
        <f t="shared" si="271"/>
        <v/>
      </c>
      <c r="EE393" s="36">
        <f>EE392</f>
        <v>4</v>
      </c>
    </row>
    <row r="394" spans="118:135">
      <c r="DN394" s="32">
        <v>393</v>
      </c>
      <c r="DO394" s="34" t="s">
        <v>717</v>
      </c>
      <c r="DP394" s="38" t="str">
        <f t="shared" si="275"/>
        <v>Steal</v>
      </c>
      <c r="DQ394" s="173" t="str">
        <f t="shared" si="272"/>
        <v>(Thie) Steal</v>
      </c>
      <c r="DR394" s="36">
        <f t="shared" si="273"/>
        <v>393</v>
      </c>
      <c r="DV394" s="176">
        <f t="shared" si="270"/>
        <v>1</v>
      </c>
      <c r="DW394" s="243">
        <f>IF(COUNTIF('Char Sheet p1'!$AP$7:$AP$35,DQ394)=0,0,ROUNDDOWN(SUMIF('Char Sheet p1'!$AP$7:$AP$35,DQ394,'Char Sheet p1'!$AQ$7:$AQ$35)/10,0))</f>
        <v>0</v>
      </c>
      <c r="DX394" s="240">
        <f t="shared" si="274"/>
        <v>1</v>
      </c>
      <c r="DY394" s="36">
        <v>3</v>
      </c>
      <c r="DZ394" s="36">
        <f t="shared" si="271"/>
        <v>3</v>
      </c>
      <c r="EE394" s="36">
        <f t="shared" ref="EE394:EE417" si="276">EE393</f>
        <v>4</v>
      </c>
    </row>
    <row r="395" spans="118:135">
      <c r="DN395" s="32">
        <v>394</v>
      </c>
      <c r="DO395" s="34" t="s">
        <v>717</v>
      </c>
      <c r="DP395" s="38">
        <f t="shared" si="275"/>
        <v>0</v>
      </c>
      <c r="DQ395" s="173" t="str">
        <f t="shared" si="272"/>
        <v>(Thie) 0</v>
      </c>
      <c r="DR395" s="36" t="str">
        <f t="shared" si="273"/>
        <v/>
      </c>
      <c r="DV395" s="176">
        <f t="shared" si="270"/>
        <v>0</v>
      </c>
      <c r="DW395" s="243">
        <f>IF(COUNTIF('Char Sheet p1'!$AP$7:$AP$35,DQ395)=0,0,ROUNDDOWN(SUMIF('Char Sheet p1'!$AP$7:$AP$35,DQ395,'Char Sheet p1'!$AQ$7:$AQ$35)/10,0))</f>
        <v>0</v>
      </c>
      <c r="DX395" s="240">
        <f t="shared" si="274"/>
        <v>0</v>
      </c>
      <c r="DY395" s="36">
        <v>4</v>
      </c>
      <c r="DZ395" s="36" t="str">
        <f t="shared" si="271"/>
        <v/>
      </c>
      <c r="EE395" s="36">
        <f t="shared" si="276"/>
        <v>4</v>
      </c>
    </row>
    <row r="396" spans="118:135">
      <c r="DN396" s="32">
        <v>395</v>
      </c>
      <c r="DO396" s="34" t="s">
        <v>717</v>
      </c>
      <c r="DP396" s="38">
        <f t="shared" si="275"/>
        <v>0</v>
      </c>
      <c r="DQ396" s="173" t="str">
        <f t="shared" si="272"/>
        <v>(Thie) 0</v>
      </c>
      <c r="DR396" s="36" t="str">
        <f t="shared" si="273"/>
        <v/>
      </c>
      <c r="DV396" s="176">
        <f t="shared" si="270"/>
        <v>0</v>
      </c>
      <c r="DW396" s="243">
        <f>IF(COUNTIF('Char Sheet p1'!$AP$7:$AP$35,DQ396)=0,0,ROUNDDOWN(SUMIF('Char Sheet p1'!$AP$7:$AP$35,DQ396,'Char Sheet p1'!$AQ$7:$AQ$35)/10,0))</f>
        <v>0</v>
      </c>
      <c r="DX396" s="240">
        <f t="shared" si="274"/>
        <v>0</v>
      </c>
      <c r="DY396" s="36">
        <f>DY395+1</f>
        <v>5</v>
      </c>
      <c r="DZ396" s="36" t="str">
        <f t="shared" si="271"/>
        <v/>
      </c>
      <c r="EE396" s="36">
        <f t="shared" si="276"/>
        <v>4</v>
      </c>
    </row>
    <row r="397" spans="118:135">
      <c r="DN397" s="32">
        <v>396</v>
      </c>
      <c r="DO397" s="34" t="s">
        <v>717</v>
      </c>
      <c r="DP397" s="38">
        <f t="shared" si="275"/>
        <v>0</v>
      </c>
      <c r="DQ397" s="173" t="str">
        <f t="shared" si="272"/>
        <v>(Thie) 0</v>
      </c>
      <c r="DR397" s="36" t="str">
        <f t="shared" si="273"/>
        <v/>
      </c>
      <c r="DV397" s="176">
        <f t="shared" si="270"/>
        <v>0</v>
      </c>
      <c r="DW397" s="243">
        <f>IF(COUNTIF('Char Sheet p1'!$AP$7:$AP$35,DQ397)=0,0,ROUNDDOWN(SUMIF('Char Sheet p1'!$AP$7:$AP$35,DQ397,'Char Sheet p1'!$AQ$7:$AQ$35)/10,0))</f>
        <v>0</v>
      </c>
      <c r="DX397" s="240">
        <f t="shared" si="274"/>
        <v>0</v>
      </c>
      <c r="DY397" s="36">
        <f t="shared" ref="DY397:DY417" si="277">DY396+1</f>
        <v>6</v>
      </c>
      <c r="DZ397" s="36" t="str">
        <f t="shared" si="271"/>
        <v/>
      </c>
      <c r="EE397" s="36">
        <f t="shared" si="276"/>
        <v>4</v>
      </c>
    </row>
    <row r="398" spans="118:135">
      <c r="DN398" s="32">
        <v>397</v>
      </c>
      <c r="DO398" s="34" t="s">
        <v>717</v>
      </c>
      <c r="DP398" s="38">
        <f t="shared" si="275"/>
        <v>0</v>
      </c>
      <c r="DQ398" s="173" t="str">
        <f t="shared" si="272"/>
        <v>(Thie) 0</v>
      </c>
      <c r="DR398" s="36" t="str">
        <f t="shared" si="273"/>
        <v/>
      </c>
      <c r="DV398" s="176">
        <f t="shared" si="270"/>
        <v>0</v>
      </c>
      <c r="DW398" s="243">
        <f>IF(COUNTIF('Char Sheet p1'!$AP$7:$AP$35,DQ398)=0,0,ROUNDDOWN(SUMIF('Char Sheet p1'!$AP$7:$AP$35,DQ398,'Char Sheet p1'!$AQ$7:$AQ$35)/10,0))</f>
        <v>0</v>
      </c>
      <c r="DX398" s="240">
        <f t="shared" si="274"/>
        <v>0</v>
      </c>
      <c r="DY398" s="36">
        <f t="shared" si="277"/>
        <v>7</v>
      </c>
      <c r="DZ398" s="36" t="str">
        <f t="shared" si="271"/>
        <v/>
      </c>
      <c r="EE398" s="36">
        <f t="shared" si="276"/>
        <v>4</v>
      </c>
    </row>
    <row r="399" spans="118:135">
      <c r="DN399" s="32">
        <v>398</v>
      </c>
      <c r="DO399" s="34" t="s">
        <v>717</v>
      </c>
      <c r="DP399" s="38">
        <f t="shared" si="275"/>
        <v>0</v>
      </c>
      <c r="DQ399" s="173" t="str">
        <f t="shared" si="272"/>
        <v>(Thie) 0</v>
      </c>
      <c r="DR399" s="36" t="str">
        <f t="shared" si="273"/>
        <v/>
      </c>
      <c r="DV399" s="176">
        <f t="shared" si="270"/>
        <v>0</v>
      </c>
      <c r="DW399" s="243">
        <f>IF(COUNTIF('Char Sheet p1'!$AP$7:$AP$35,DQ399)=0,0,ROUNDDOWN(SUMIF('Char Sheet p1'!$AP$7:$AP$35,DQ399,'Char Sheet p1'!$AQ$7:$AQ$35)/10,0))</f>
        <v>0</v>
      </c>
      <c r="DX399" s="240">
        <f t="shared" si="274"/>
        <v>0</v>
      </c>
      <c r="DY399" s="36">
        <f t="shared" si="277"/>
        <v>8</v>
      </c>
      <c r="DZ399" s="36" t="str">
        <f t="shared" si="271"/>
        <v/>
      </c>
      <c r="EE399" s="36">
        <f t="shared" si="276"/>
        <v>4</v>
      </c>
    </row>
    <row r="400" spans="118:135">
      <c r="DN400" s="32">
        <v>399</v>
      </c>
      <c r="DO400" s="34" t="s">
        <v>717</v>
      </c>
      <c r="DP400" s="38">
        <f t="shared" si="275"/>
        <v>0</v>
      </c>
      <c r="DQ400" s="173" t="str">
        <f t="shared" si="272"/>
        <v>(Thie) 0</v>
      </c>
      <c r="DR400" s="36" t="str">
        <f t="shared" si="273"/>
        <v/>
      </c>
      <c r="DV400" s="176">
        <f t="shared" si="270"/>
        <v>0</v>
      </c>
      <c r="DW400" s="243">
        <f>IF(COUNTIF('Char Sheet p1'!$AP$7:$AP$35,DQ400)=0,0,ROUNDDOWN(SUMIF('Char Sheet p1'!$AP$7:$AP$35,DQ400,'Char Sheet p1'!$AQ$7:$AQ$35)/10,0))</f>
        <v>0</v>
      </c>
      <c r="DX400" s="240">
        <f t="shared" si="274"/>
        <v>0</v>
      </c>
      <c r="DY400" s="36">
        <f t="shared" si="277"/>
        <v>9</v>
      </c>
      <c r="DZ400" s="36" t="str">
        <f t="shared" si="271"/>
        <v/>
      </c>
      <c r="EE400" s="36">
        <f t="shared" si="276"/>
        <v>4</v>
      </c>
    </row>
    <row r="401" spans="118:135">
      <c r="DN401" s="32">
        <v>400</v>
      </c>
      <c r="DO401" s="34" t="s">
        <v>717</v>
      </c>
      <c r="DP401" s="38">
        <f t="shared" si="275"/>
        <v>0</v>
      </c>
      <c r="DQ401" s="173" t="str">
        <f t="shared" si="272"/>
        <v>(Thie) 0</v>
      </c>
      <c r="DR401" s="36" t="str">
        <f t="shared" si="273"/>
        <v/>
      </c>
      <c r="DV401" s="176">
        <f t="shared" si="270"/>
        <v>0</v>
      </c>
      <c r="DW401" s="243">
        <f>IF(COUNTIF('Char Sheet p1'!$AP$7:$AP$35,DQ401)=0,0,ROUNDDOWN(SUMIF('Char Sheet p1'!$AP$7:$AP$35,DQ401,'Char Sheet p1'!$AQ$7:$AQ$35)/10,0))</f>
        <v>0</v>
      </c>
      <c r="DX401" s="240">
        <f t="shared" si="274"/>
        <v>0</v>
      </c>
      <c r="DY401" s="36">
        <f t="shared" si="277"/>
        <v>10</v>
      </c>
      <c r="DZ401" s="36" t="str">
        <f t="shared" si="271"/>
        <v/>
      </c>
      <c r="EE401" s="36">
        <f t="shared" si="276"/>
        <v>4</v>
      </c>
    </row>
    <row r="402" spans="118:135">
      <c r="DN402" s="32">
        <v>401</v>
      </c>
      <c r="DO402" s="34" t="s">
        <v>717</v>
      </c>
      <c r="DP402" s="38">
        <f t="shared" si="275"/>
        <v>0</v>
      </c>
      <c r="DQ402" s="173" t="str">
        <f t="shared" si="272"/>
        <v>(Thie) 0</v>
      </c>
      <c r="DR402" s="36" t="str">
        <f t="shared" si="273"/>
        <v/>
      </c>
      <c r="DV402" s="176">
        <f t="shared" si="270"/>
        <v>0</v>
      </c>
      <c r="DW402" s="243">
        <f>IF(COUNTIF('Char Sheet p1'!$AP$7:$AP$35,DQ402)=0,0,ROUNDDOWN(SUMIF('Char Sheet p1'!$AP$7:$AP$35,DQ402,'Char Sheet p1'!$AQ$7:$AQ$35)/10,0))</f>
        <v>0</v>
      </c>
      <c r="DX402" s="240">
        <f t="shared" si="274"/>
        <v>0</v>
      </c>
      <c r="DY402" s="36">
        <f t="shared" si="277"/>
        <v>11</v>
      </c>
      <c r="DZ402" s="36" t="str">
        <f t="shared" si="271"/>
        <v/>
      </c>
      <c r="EE402" s="36">
        <f t="shared" si="276"/>
        <v>4</v>
      </c>
    </row>
    <row r="403" spans="118:135">
      <c r="DN403" s="32">
        <v>402</v>
      </c>
      <c r="DO403" s="34" t="s">
        <v>717</v>
      </c>
      <c r="DP403" s="38">
        <f t="shared" si="275"/>
        <v>0</v>
      </c>
      <c r="DQ403" s="173" t="str">
        <f t="shared" si="272"/>
        <v>(Thie) 0</v>
      </c>
      <c r="DR403" s="36" t="str">
        <f t="shared" si="273"/>
        <v/>
      </c>
      <c r="DV403" s="176">
        <f t="shared" si="270"/>
        <v>0</v>
      </c>
      <c r="DW403" s="243">
        <f>IF(COUNTIF('Char Sheet p1'!$AP$7:$AP$35,DQ403)=0,0,ROUNDDOWN(SUMIF('Char Sheet p1'!$AP$7:$AP$35,DQ403,'Char Sheet p1'!$AQ$7:$AQ$35)/10,0))</f>
        <v>0</v>
      </c>
      <c r="DX403" s="240">
        <f t="shared" si="274"/>
        <v>0</v>
      </c>
      <c r="DY403" s="36">
        <f t="shared" si="277"/>
        <v>12</v>
      </c>
      <c r="DZ403" s="36" t="str">
        <f t="shared" si="271"/>
        <v/>
      </c>
      <c r="EE403" s="36">
        <f t="shared" si="276"/>
        <v>4</v>
      </c>
    </row>
    <row r="404" spans="118:135">
      <c r="DN404" s="32">
        <v>403</v>
      </c>
      <c r="DO404" s="34" t="s">
        <v>717</v>
      </c>
      <c r="DP404" s="38">
        <f t="shared" si="275"/>
        <v>0</v>
      </c>
      <c r="DQ404" s="173" t="str">
        <f t="shared" si="272"/>
        <v>(Thie) 0</v>
      </c>
      <c r="DR404" s="36" t="str">
        <f t="shared" si="273"/>
        <v/>
      </c>
      <c r="DV404" s="176">
        <f t="shared" si="270"/>
        <v>0</v>
      </c>
      <c r="DW404" s="243">
        <f>IF(COUNTIF('Char Sheet p1'!$AP$7:$AP$35,DQ404)=0,0,ROUNDDOWN(SUMIF('Char Sheet p1'!$AP$7:$AP$35,DQ404,'Char Sheet p1'!$AQ$7:$AQ$35)/10,0))</f>
        <v>0</v>
      </c>
      <c r="DX404" s="240">
        <f t="shared" si="274"/>
        <v>0</v>
      </c>
      <c r="DY404" s="36">
        <f t="shared" si="277"/>
        <v>13</v>
      </c>
      <c r="DZ404" s="36" t="str">
        <f t="shared" si="271"/>
        <v/>
      </c>
      <c r="EE404" s="36">
        <f t="shared" si="276"/>
        <v>4</v>
      </c>
    </row>
    <row r="405" spans="118:135">
      <c r="DN405" s="32">
        <v>404</v>
      </c>
      <c r="DO405" s="34" t="s">
        <v>717</v>
      </c>
      <c r="DP405" s="38">
        <f t="shared" si="275"/>
        <v>0</v>
      </c>
      <c r="DQ405" s="173" t="str">
        <f t="shared" si="272"/>
        <v>(Thie) 0</v>
      </c>
      <c r="DR405" s="36" t="str">
        <f t="shared" si="273"/>
        <v/>
      </c>
      <c r="DV405" s="176">
        <f t="shared" si="270"/>
        <v>0</v>
      </c>
      <c r="DW405" s="243">
        <f>IF(COUNTIF('Char Sheet p1'!$AP$7:$AP$35,DQ405)=0,0,ROUNDDOWN(SUMIF('Char Sheet p1'!$AP$7:$AP$35,DQ405,'Char Sheet p1'!$AQ$7:$AQ$35)/10,0))</f>
        <v>0</v>
      </c>
      <c r="DX405" s="240">
        <f t="shared" si="274"/>
        <v>0</v>
      </c>
      <c r="DY405" s="36">
        <f t="shared" si="277"/>
        <v>14</v>
      </c>
      <c r="DZ405" s="36" t="str">
        <f t="shared" si="271"/>
        <v/>
      </c>
      <c r="EE405" s="36">
        <f t="shared" si="276"/>
        <v>4</v>
      </c>
    </row>
    <row r="406" spans="118:135">
      <c r="DN406" s="32">
        <v>405</v>
      </c>
      <c r="DO406" s="34" t="s">
        <v>717</v>
      </c>
      <c r="DP406" s="38">
        <f t="shared" si="275"/>
        <v>0</v>
      </c>
      <c r="DQ406" s="173" t="str">
        <f t="shared" si="272"/>
        <v>(Thie) 0</v>
      </c>
      <c r="DR406" s="36" t="str">
        <f t="shared" si="273"/>
        <v/>
      </c>
      <c r="DV406" s="176">
        <f t="shared" si="270"/>
        <v>0</v>
      </c>
      <c r="DW406" s="243">
        <f>IF(COUNTIF('Char Sheet p1'!$AP$7:$AP$35,DQ406)=0,0,ROUNDDOWN(SUMIF('Char Sheet p1'!$AP$7:$AP$35,DQ406,'Char Sheet p1'!$AQ$7:$AQ$35)/10,0))</f>
        <v>0</v>
      </c>
      <c r="DX406" s="240">
        <f t="shared" si="274"/>
        <v>0</v>
      </c>
      <c r="DY406" s="36">
        <f t="shared" si="277"/>
        <v>15</v>
      </c>
      <c r="DZ406" s="36" t="str">
        <f t="shared" si="271"/>
        <v/>
      </c>
      <c r="EE406" s="36">
        <f t="shared" si="276"/>
        <v>4</v>
      </c>
    </row>
    <row r="407" spans="118:135">
      <c r="DN407" s="32">
        <v>406</v>
      </c>
      <c r="DO407" s="34" t="s">
        <v>717</v>
      </c>
      <c r="DP407" s="38">
        <f t="shared" si="275"/>
        <v>0</v>
      </c>
      <c r="DQ407" s="173" t="str">
        <f t="shared" si="272"/>
        <v>(Thie) 0</v>
      </c>
      <c r="DR407" s="36" t="str">
        <f t="shared" si="273"/>
        <v/>
      </c>
      <c r="DV407" s="176">
        <f t="shared" si="270"/>
        <v>0</v>
      </c>
      <c r="DW407" s="243">
        <f>IF(COUNTIF('Char Sheet p1'!$AP$7:$AP$35,DQ407)=0,0,ROUNDDOWN(SUMIF('Char Sheet p1'!$AP$7:$AP$35,DQ407,'Char Sheet p1'!$AQ$7:$AQ$35)/10,0))</f>
        <v>0</v>
      </c>
      <c r="DX407" s="240">
        <f t="shared" si="274"/>
        <v>0</v>
      </c>
      <c r="DY407" s="36">
        <f t="shared" si="277"/>
        <v>16</v>
      </c>
      <c r="DZ407" s="36" t="str">
        <f t="shared" si="271"/>
        <v/>
      </c>
      <c r="EE407" s="36">
        <f t="shared" si="276"/>
        <v>4</v>
      </c>
    </row>
    <row r="408" spans="118:135">
      <c r="DN408" s="32">
        <v>407</v>
      </c>
      <c r="DO408" s="34" t="s">
        <v>717</v>
      </c>
      <c r="DP408" s="38">
        <f t="shared" si="275"/>
        <v>0</v>
      </c>
      <c r="DQ408" s="173" t="str">
        <f t="shared" si="272"/>
        <v>(Thie) 0</v>
      </c>
      <c r="DR408" s="36" t="str">
        <f t="shared" si="273"/>
        <v/>
      </c>
      <c r="DV408" s="176">
        <f t="shared" si="270"/>
        <v>0</v>
      </c>
      <c r="DW408" s="243">
        <f>IF(COUNTIF('Char Sheet p1'!$AP$7:$AP$35,DQ408)=0,0,ROUNDDOWN(SUMIF('Char Sheet p1'!$AP$7:$AP$35,DQ408,'Char Sheet p1'!$AQ$7:$AQ$35)/10,0))</f>
        <v>0</v>
      </c>
      <c r="DX408" s="240">
        <f t="shared" si="274"/>
        <v>0</v>
      </c>
      <c r="DY408" s="36">
        <f t="shared" si="277"/>
        <v>17</v>
      </c>
      <c r="DZ408" s="36" t="str">
        <f t="shared" si="271"/>
        <v/>
      </c>
      <c r="EE408" s="36">
        <f t="shared" si="276"/>
        <v>4</v>
      </c>
    </row>
    <row r="409" spans="118:135">
      <c r="DN409" s="32">
        <v>408</v>
      </c>
      <c r="DO409" s="34" t="s">
        <v>717</v>
      </c>
      <c r="DP409" s="38">
        <f t="shared" si="275"/>
        <v>0</v>
      </c>
      <c r="DQ409" s="173" t="str">
        <f t="shared" si="272"/>
        <v>(Thie) 0</v>
      </c>
      <c r="DR409" s="36" t="str">
        <f t="shared" si="273"/>
        <v/>
      </c>
      <c r="DV409" s="176">
        <f t="shared" si="270"/>
        <v>0</v>
      </c>
      <c r="DW409" s="243">
        <f>IF(COUNTIF('Char Sheet p1'!$AP$7:$AP$35,DQ409)=0,0,ROUNDDOWN(SUMIF('Char Sheet p1'!$AP$7:$AP$35,DQ409,'Char Sheet p1'!$AQ$7:$AQ$35)/10,0))</f>
        <v>0</v>
      </c>
      <c r="DX409" s="240">
        <f t="shared" si="274"/>
        <v>0</v>
      </c>
      <c r="DY409" s="36">
        <f t="shared" si="277"/>
        <v>18</v>
      </c>
      <c r="DZ409" s="36" t="str">
        <f t="shared" si="271"/>
        <v/>
      </c>
      <c r="EE409" s="36">
        <f t="shared" si="276"/>
        <v>4</v>
      </c>
    </row>
    <row r="410" spans="118:135">
      <c r="DN410" s="32">
        <v>409</v>
      </c>
      <c r="DO410" s="34" t="s">
        <v>717</v>
      </c>
      <c r="DP410" s="38">
        <f t="shared" si="275"/>
        <v>0</v>
      </c>
      <c r="DQ410" s="173" t="str">
        <f t="shared" si="272"/>
        <v>(Thie) 0</v>
      </c>
      <c r="DR410" s="36" t="str">
        <f t="shared" si="273"/>
        <v/>
      </c>
      <c r="DV410" s="176">
        <f t="shared" si="270"/>
        <v>0</v>
      </c>
      <c r="DW410" s="243">
        <f>IF(COUNTIF('Char Sheet p1'!$AP$7:$AP$35,DQ410)=0,0,ROUNDDOWN(SUMIF('Char Sheet p1'!$AP$7:$AP$35,DQ410,'Char Sheet p1'!$AQ$7:$AQ$35)/10,0))</f>
        <v>0</v>
      </c>
      <c r="DX410" s="240">
        <f t="shared" si="274"/>
        <v>0</v>
      </c>
      <c r="DY410" s="36">
        <f t="shared" si="277"/>
        <v>19</v>
      </c>
      <c r="DZ410" s="36" t="str">
        <f t="shared" si="271"/>
        <v/>
      </c>
      <c r="EE410" s="36">
        <f t="shared" si="276"/>
        <v>4</v>
      </c>
    </row>
    <row r="411" spans="118:135">
      <c r="DN411" s="32">
        <v>410</v>
      </c>
      <c r="DO411" s="34" t="s">
        <v>717</v>
      </c>
      <c r="DP411" s="38">
        <f t="shared" si="275"/>
        <v>0</v>
      </c>
      <c r="DQ411" s="173" t="str">
        <f t="shared" si="272"/>
        <v>(Thie) 0</v>
      </c>
      <c r="DR411" s="36" t="str">
        <f t="shared" si="273"/>
        <v/>
      </c>
      <c r="DV411" s="176">
        <f t="shared" si="270"/>
        <v>0</v>
      </c>
      <c r="DW411" s="243">
        <f>IF(COUNTIF('Char Sheet p1'!$AP$7:$AP$35,DQ411)=0,0,ROUNDDOWN(SUMIF('Char Sheet p1'!$AP$7:$AP$35,DQ411,'Char Sheet p1'!$AQ$7:$AQ$35)/10,0))</f>
        <v>0</v>
      </c>
      <c r="DX411" s="240">
        <f t="shared" si="274"/>
        <v>0</v>
      </c>
      <c r="DY411" s="36">
        <f t="shared" si="277"/>
        <v>20</v>
      </c>
      <c r="DZ411" s="36" t="str">
        <f t="shared" si="271"/>
        <v/>
      </c>
      <c r="EE411" s="36">
        <f t="shared" si="276"/>
        <v>4</v>
      </c>
    </row>
    <row r="412" spans="118:135">
      <c r="DN412" s="32">
        <v>411</v>
      </c>
      <c r="DO412" s="34" t="s">
        <v>717</v>
      </c>
      <c r="DP412" s="38">
        <f t="shared" si="275"/>
        <v>0</v>
      </c>
      <c r="DQ412" s="173" t="str">
        <f t="shared" si="272"/>
        <v>(Thie) 0</v>
      </c>
      <c r="DR412" s="36" t="str">
        <f t="shared" si="273"/>
        <v/>
      </c>
      <c r="DV412" s="176">
        <f t="shared" si="270"/>
        <v>0</v>
      </c>
      <c r="DW412" s="243">
        <f>IF(COUNTIF('Char Sheet p1'!$AP$7:$AP$35,DQ412)=0,0,ROUNDDOWN(SUMIF('Char Sheet p1'!$AP$7:$AP$35,DQ412,'Char Sheet p1'!$AQ$7:$AQ$35)/10,0))</f>
        <v>0</v>
      </c>
      <c r="DX412" s="240">
        <f t="shared" si="274"/>
        <v>0</v>
      </c>
      <c r="DY412" s="36">
        <f t="shared" si="277"/>
        <v>21</v>
      </c>
      <c r="DZ412" s="36" t="str">
        <f t="shared" si="271"/>
        <v/>
      </c>
      <c r="EE412" s="36">
        <f t="shared" si="276"/>
        <v>4</v>
      </c>
    </row>
    <row r="413" spans="118:135">
      <c r="DN413" s="32">
        <v>412</v>
      </c>
      <c r="DO413" s="34" t="s">
        <v>717</v>
      </c>
      <c r="DP413" s="38">
        <f t="shared" si="275"/>
        <v>0</v>
      </c>
      <c r="DQ413" s="173" t="str">
        <f t="shared" si="272"/>
        <v>(Thie) 0</v>
      </c>
      <c r="DR413" s="36" t="str">
        <f t="shared" si="273"/>
        <v/>
      </c>
      <c r="DV413" s="176">
        <f t="shared" si="270"/>
        <v>0</v>
      </c>
      <c r="DW413" s="243">
        <f>IF(COUNTIF('Char Sheet p1'!$AP$7:$AP$35,DQ413)=0,0,ROUNDDOWN(SUMIF('Char Sheet p1'!$AP$7:$AP$35,DQ413,'Char Sheet p1'!$AQ$7:$AQ$35)/10,0))</f>
        <v>0</v>
      </c>
      <c r="DX413" s="240">
        <f t="shared" si="274"/>
        <v>0</v>
      </c>
      <c r="DY413" s="36">
        <f t="shared" si="277"/>
        <v>22</v>
      </c>
      <c r="DZ413" s="36" t="str">
        <f t="shared" si="271"/>
        <v/>
      </c>
      <c r="EE413" s="36">
        <f t="shared" si="276"/>
        <v>4</v>
      </c>
    </row>
    <row r="414" spans="118:135">
      <c r="DN414" s="32">
        <v>413</v>
      </c>
      <c r="DO414" s="34" t="s">
        <v>717</v>
      </c>
      <c r="DP414" s="38">
        <f t="shared" si="275"/>
        <v>0</v>
      </c>
      <c r="DQ414" s="173" t="str">
        <f t="shared" si="272"/>
        <v>(Thie) 0</v>
      </c>
      <c r="DR414" s="36" t="str">
        <f t="shared" si="273"/>
        <v/>
      </c>
      <c r="DV414" s="176">
        <f t="shared" si="270"/>
        <v>0</v>
      </c>
      <c r="DW414" s="243">
        <f>IF(COUNTIF('Char Sheet p1'!$AP$7:$AP$35,DQ414)=0,0,ROUNDDOWN(SUMIF('Char Sheet p1'!$AP$7:$AP$35,DQ414,'Char Sheet p1'!$AQ$7:$AQ$35)/10,0))</f>
        <v>0</v>
      </c>
      <c r="DX414" s="240">
        <f t="shared" si="274"/>
        <v>0</v>
      </c>
      <c r="DY414" s="36">
        <f t="shared" si="277"/>
        <v>23</v>
      </c>
      <c r="DZ414" s="36" t="str">
        <f t="shared" si="271"/>
        <v/>
      </c>
      <c r="EE414" s="36">
        <f t="shared" si="276"/>
        <v>4</v>
      </c>
    </row>
    <row r="415" spans="118:135">
      <c r="DN415" s="32">
        <v>414</v>
      </c>
      <c r="DO415" s="34" t="s">
        <v>717</v>
      </c>
      <c r="DP415" s="38">
        <f t="shared" si="275"/>
        <v>0</v>
      </c>
      <c r="DQ415" s="173" t="str">
        <f t="shared" si="272"/>
        <v>(Thie) 0</v>
      </c>
      <c r="DR415" s="36" t="str">
        <f t="shared" si="273"/>
        <v/>
      </c>
      <c r="DV415" s="176">
        <f t="shared" si="270"/>
        <v>0</v>
      </c>
      <c r="DW415" s="243">
        <f>IF(COUNTIF('Char Sheet p1'!$AP$7:$AP$35,DQ415)=0,0,ROUNDDOWN(SUMIF('Char Sheet p1'!$AP$7:$AP$35,DQ415,'Char Sheet p1'!$AQ$7:$AQ$35)/10,0))</f>
        <v>0</v>
      </c>
      <c r="DX415" s="240">
        <f t="shared" si="274"/>
        <v>0</v>
      </c>
      <c r="DY415" s="36">
        <f t="shared" si="277"/>
        <v>24</v>
      </c>
      <c r="DZ415" s="36" t="str">
        <f t="shared" si="271"/>
        <v/>
      </c>
      <c r="EE415" s="36">
        <f t="shared" si="276"/>
        <v>4</v>
      </c>
    </row>
    <row r="416" spans="118:135">
      <c r="DN416" s="32">
        <v>415</v>
      </c>
      <c r="DO416" s="34" t="s">
        <v>717</v>
      </c>
      <c r="DP416" s="38">
        <f t="shared" si="275"/>
        <v>0</v>
      </c>
      <c r="DQ416" s="173" t="str">
        <f t="shared" si="272"/>
        <v>(Thie) 0</v>
      </c>
      <c r="DR416" s="36" t="str">
        <f t="shared" si="273"/>
        <v/>
      </c>
      <c r="DV416" s="176">
        <f t="shared" si="270"/>
        <v>0</v>
      </c>
      <c r="DW416" s="243">
        <f>IF(COUNTIF('Char Sheet p1'!$AP$7:$AP$35,DQ416)=0,0,ROUNDDOWN(SUMIF('Char Sheet p1'!$AP$7:$AP$35,DQ416,'Char Sheet p1'!$AQ$7:$AQ$35)/10,0))</f>
        <v>0</v>
      </c>
      <c r="DX416" s="240">
        <f t="shared" si="274"/>
        <v>0</v>
      </c>
      <c r="DY416" s="36">
        <f t="shared" si="277"/>
        <v>25</v>
      </c>
      <c r="DZ416" s="36" t="str">
        <f t="shared" si="271"/>
        <v/>
      </c>
      <c r="EE416" s="36">
        <f t="shared" si="276"/>
        <v>4</v>
      </c>
    </row>
    <row r="417" spans="118:135">
      <c r="DN417" s="32">
        <v>416</v>
      </c>
      <c r="DO417" s="34" t="s">
        <v>717</v>
      </c>
      <c r="DP417" s="38">
        <f t="shared" si="275"/>
        <v>0</v>
      </c>
      <c r="DQ417" s="173" t="str">
        <f t="shared" si="272"/>
        <v>(Thie) 0</v>
      </c>
      <c r="DR417" s="36" t="str">
        <f t="shared" si="273"/>
        <v/>
      </c>
      <c r="DV417" s="176">
        <f t="shared" si="270"/>
        <v>0</v>
      </c>
      <c r="DW417" s="243">
        <f>IF(COUNTIF('Char Sheet p1'!$AP$7:$AP$35,DQ417)=0,0,ROUNDDOWN(SUMIF('Char Sheet p1'!$AP$7:$AP$35,DQ417,'Char Sheet p1'!$AQ$7:$AQ$35)/10,0))</f>
        <v>0</v>
      </c>
      <c r="DX417" s="240">
        <f t="shared" si="274"/>
        <v>0</v>
      </c>
      <c r="DY417" s="36">
        <f t="shared" si="277"/>
        <v>26</v>
      </c>
      <c r="DZ417" s="36" t="str">
        <f t="shared" si="271"/>
        <v/>
      </c>
      <c r="EE417" s="55">
        <f t="shared" si="276"/>
        <v>4</v>
      </c>
    </row>
    <row r="418" spans="118:135">
      <c r="DN418" s="32">
        <v>417</v>
      </c>
      <c r="DO418" s="34" t="s">
        <v>721</v>
      </c>
      <c r="DP418" s="38" t="str">
        <f t="shared" ref="DP418:DP443" si="278">AC2</f>
        <v>Command</v>
      </c>
      <c r="DQ418" s="173" t="str">
        <f t="shared" si="272"/>
        <v>(Warf) Command</v>
      </c>
      <c r="DR418" s="36">
        <f t="shared" si="273"/>
        <v>417</v>
      </c>
      <c r="DV418" s="176">
        <f t="shared" si="270"/>
        <v>0</v>
      </c>
      <c r="DW418" s="243">
        <f>IF(COUNTIF('Char Sheet p1'!$AP$7:$AP$35,DQ418)=0,0,ROUNDDOWN(SUMIF('Char Sheet p1'!$AP$7:$AP$35,DQ418,'Char Sheet p1'!$AQ$7:$AQ$35)/10,0))</f>
        <v>0</v>
      </c>
      <c r="DX418" s="240">
        <f t="shared" si="274"/>
        <v>0</v>
      </c>
      <c r="DY418" s="36">
        <v>1</v>
      </c>
      <c r="DZ418" s="36" t="str">
        <f t="shared" si="271"/>
        <v/>
      </c>
      <c r="EE418" s="245">
        <f>'Char Sheet p1'!T27</f>
        <v>1</v>
      </c>
    </row>
    <row r="419" spans="118:135">
      <c r="DN419" s="32">
        <v>418</v>
      </c>
      <c r="DO419" s="34" t="s">
        <v>721</v>
      </c>
      <c r="DP419" s="38" t="str">
        <f t="shared" si="278"/>
        <v>Strategy</v>
      </c>
      <c r="DQ419" s="173" t="str">
        <f t="shared" si="272"/>
        <v>(Warf) Strategy</v>
      </c>
      <c r="DR419" s="36">
        <f t="shared" si="273"/>
        <v>418</v>
      </c>
      <c r="DV419" s="176">
        <f t="shared" si="270"/>
        <v>0</v>
      </c>
      <c r="DW419" s="243">
        <f>IF(COUNTIF('Char Sheet p1'!$AP$7:$AP$35,DQ419)=0,0,ROUNDDOWN(SUMIF('Char Sheet p1'!$AP$7:$AP$35,DQ419,'Char Sheet p1'!$AQ$7:$AQ$35)/10,0))</f>
        <v>0</v>
      </c>
      <c r="DX419" s="240">
        <f t="shared" si="274"/>
        <v>0</v>
      </c>
      <c r="DY419" s="36">
        <v>2</v>
      </c>
      <c r="DZ419" s="36" t="str">
        <f t="shared" si="271"/>
        <v/>
      </c>
      <c r="EE419" s="36">
        <f>EE418</f>
        <v>1</v>
      </c>
    </row>
    <row r="420" spans="118:135">
      <c r="DN420" s="32">
        <v>419</v>
      </c>
      <c r="DO420" s="34" t="s">
        <v>721</v>
      </c>
      <c r="DP420" s="38" t="str">
        <f t="shared" si="278"/>
        <v>Tactics</v>
      </c>
      <c r="DQ420" s="173" t="str">
        <f t="shared" si="272"/>
        <v>(Warf) Tactics</v>
      </c>
      <c r="DR420" s="36">
        <f t="shared" si="273"/>
        <v>419</v>
      </c>
      <c r="DV420" s="176">
        <f t="shared" si="270"/>
        <v>0</v>
      </c>
      <c r="DW420" s="243">
        <f>IF(COUNTIF('Char Sheet p1'!$AP$7:$AP$35,DQ420)=0,0,ROUNDDOWN(SUMIF('Char Sheet p1'!$AP$7:$AP$35,DQ420,'Char Sheet p1'!$AQ$7:$AQ$35)/10,0))</f>
        <v>0</v>
      </c>
      <c r="DX420" s="240">
        <f t="shared" si="274"/>
        <v>0</v>
      </c>
      <c r="DY420" s="36">
        <v>3</v>
      </c>
      <c r="DZ420" s="36" t="str">
        <f t="shared" si="271"/>
        <v/>
      </c>
      <c r="EE420" s="36">
        <f t="shared" ref="EE420:EE443" si="279">EE419</f>
        <v>1</v>
      </c>
    </row>
    <row r="421" spans="118:135">
      <c r="DN421" s="32">
        <v>420</v>
      </c>
      <c r="DO421" s="34" t="s">
        <v>721</v>
      </c>
      <c r="DP421" s="38">
        <f t="shared" si="278"/>
        <v>0</v>
      </c>
      <c r="DQ421" s="173" t="str">
        <f t="shared" si="272"/>
        <v>(Warf) 0</v>
      </c>
      <c r="DR421" s="36" t="str">
        <f t="shared" si="273"/>
        <v/>
      </c>
      <c r="DV421" s="176">
        <f t="shared" si="270"/>
        <v>0</v>
      </c>
      <c r="DW421" s="243">
        <f>IF(COUNTIF('Char Sheet p1'!$AP$7:$AP$35,DQ421)=0,0,ROUNDDOWN(SUMIF('Char Sheet p1'!$AP$7:$AP$35,DQ421,'Char Sheet p1'!$AQ$7:$AQ$35)/10,0))</f>
        <v>0</v>
      </c>
      <c r="DX421" s="240">
        <f t="shared" si="274"/>
        <v>0</v>
      </c>
      <c r="DY421" s="36">
        <v>4</v>
      </c>
      <c r="DZ421" s="36" t="str">
        <f t="shared" si="271"/>
        <v/>
      </c>
      <c r="EE421" s="36">
        <f t="shared" si="279"/>
        <v>1</v>
      </c>
    </row>
    <row r="422" spans="118:135">
      <c r="DN422" s="32">
        <v>421</v>
      </c>
      <c r="DO422" s="34" t="s">
        <v>721</v>
      </c>
      <c r="DP422" s="38">
        <f t="shared" si="278"/>
        <v>0</v>
      </c>
      <c r="DQ422" s="173" t="str">
        <f t="shared" si="272"/>
        <v>(Warf) 0</v>
      </c>
      <c r="DR422" s="36" t="str">
        <f t="shared" si="273"/>
        <v/>
      </c>
      <c r="DV422" s="176">
        <f t="shared" si="270"/>
        <v>0</v>
      </c>
      <c r="DW422" s="243">
        <f>IF(COUNTIF('Char Sheet p1'!$AP$7:$AP$35,DQ422)=0,0,ROUNDDOWN(SUMIF('Char Sheet p1'!$AP$7:$AP$35,DQ422,'Char Sheet p1'!$AQ$7:$AQ$35)/10,0))</f>
        <v>0</v>
      </c>
      <c r="DX422" s="240">
        <f t="shared" si="274"/>
        <v>0</v>
      </c>
      <c r="DY422" s="36">
        <f>DY421+1</f>
        <v>5</v>
      </c>
      <c r="DZ422" s="36" t="str">
        <f t="shared" si="271"/>
        <v/>
      </c>
      <c r="EE422" s="36">
        <f t="shared" si="279"/>
        <v>1</v>
      </c>
    </row>
    <row r="423" spans="118:135">
      <c r="DN423" s="32">
        <v>422</v>
      </c>
      <c r="DO423" s="34" t="s">
        <v>721</v>
      </c>
      <c r="DP423" s="38">
        <f t="shared" si="278"/>
        <v>0</v>
      </c>
      <c r="DQ423" s="173" t="str">
        <f t="shared" si="272"/>
        <v>(Warf) 0</v>
      </c>
      <c r="DR423" s="36" t="str">
        <f t="shared" si="273"/>
        <v/>
      </c>
      <c r="DV423" s="176">
        <f t="shared" si="270"/>
        <v>0</v>
      </c>
      <c r="DW423" s="243">
        <f>IF(COUNTIF('Char Sheet p1'!$AP$7:$AP$35,DQ423)=0,0,ROUNDDOWN(SUMIF('Char Sheet p1'!$AP$7:$AP$35,DQ423,'Char Sheet p1'!$AQ$7:$AQ$35)/10,0))</f>
        <v>0</v>
      </c>
      <c r="DX423" s="240">
        <f t="shared" si="274"/>
        <v>0</v>
      </c>
      <c r="DY423" s="36">
        <f t="shared" ref="DY423:DY443" si="280">DY422+1</f>
        <v>6</v>
      </c>
      <c r="DZ423" s="36" t="str">
        <f t="shared" si="271"/>
        <v/>
      </c>
      <c r="EE423" s="36">
        <f t="shared" si="279"/>
        <v>1</v>
      </c>
    </row>
    <row r="424" spans="118:135">
      <c r="DN424" s="32">
        <v>423</v>
      </c>
      <c r="DO424" s="34" t="s">
        <v>721</v>
      </c>
      <c r="DP424" s="38">
        <f t="shared" si="278"/>
        <v>0</v>
      </c>
      <c r="DQ424" s="173" t="str">
        <f t="shared" si="272"/>
        <v>(Warf) 0</v>
      </c>
      <c r="DR424" s="36" t="str">
        <f t="shared" si="273"/>
        <v/>
      </c>
      <c r="DV424" s="176">
        <f t="shared" si="270"/>
        <v>0</v>
      </c>
      <c r="DW424" s="243">
        <f>IF(COUNTIF('Char Sheet p1'!$AP$7:$AP$35,DQ424)=0,0,ROUNDDOWN(SUMIF('Char Sheet p1'!$AP$7:$AP$35,DQ424,'Char Sheet p1'!$AQ$7:$AQ$35)/10,0))</f>
        <v>0</v>
      </c>
      <c r="DX424" s="240">
        <f t="shared" si="274"/>
        <v>0</v>
      </c>
      <c r="DY424" s="36">
        <f t="shared" si="280"/>
        <v>7</v>
      </c>
      <c r="DZ424" s="36" t="str">
        <f t="shared" si="271"/>
        <v/>
      </c>
      <c r="EE424" s="36">
        <f t="shared" si="279"/>
        <v>1</v>
      </c>
    </row>
    <row r="425" spans="118:135">
      <c r="DN425" s="32">
        <v>424</v>
      </c>
      <c r="DO425" s="34" t="s">
        <v>721</v>
      </c>
      <c r="DP425" s="38">
        <f t="shared" si="278"/>
        <v>0</v>
      </c>
      <c r="DQ425" s="173" t="str">
        <f t="shared" si="272"/>
        <v>(Warf) 0</v>
      </c>
      <c r="DR425" s="36" t="str">
        <f t="shared" si="273"/>
        <v/>
      </c>
      <c r="DV425" s="176">
        <f t="shared" si="270"/>
        <v>0</v>
      </c>
      <c r="DW425" s="243">
        <f>IF(COUNTIF('Char Sheet p1'!$AP$7:$AP$35,DQ425)=0,0,ROUNDDOWN(SUMIF('Char Sheet p1'!$AP$7:$AP$35,DQ425,'Char Sheet p1'!$AQ$7:$AQ$35)/10,0))</f>
        <v>0</v>
      </c>
      <c r="DX425" s="240">
        <f t="shared" si="274"/>
        <v>0</v>
      </c>
      <c r="DY425" s="36">
        <f t="shared" si="280"/>
        <v>8</v>
      </c>
      <c r="DZ425" s="36" t="str">
        <f t="shared" si="271"/>
        <v/>
      </c>
      <c r="EE425" s="36">
        <f t="shared" si="279"/>
        <v>1</v>
      </c>
    </row>
    <row r="426" spans="118:135">
      <c r="DN426" s="32">
        <v>425</v>
      </c>
      <c r="DO426" s="34" t="s">
        <v>721</v>
      </c>
      <c r="DP426" s="38">
        <f t="shared" si="278"/>
        <v>0</v>
      </c>
      <c r="DQ426" s="173" t="str">
        <f t="shared" si="272"/>
        <v>(Warf) 0</v>
      </c>
      <c r="DR426" s="36" t="str">
        <f t="shared" si="273"/>
        <v/>
      </c>
      <c r="DV426" s="176">
        <f t="shared" si="270"/>
        <v>0</v>
      </c>
      <c r="DW426" s="243">
        <f>IF(COUNTIF('Char Sheet p1'!$AP$7:$AP$35,DQ426)=0,0,ROUNDDOWN(SUMIF('Char Sheet p1'!$AP$7:$AP$35,DQ426,'Char Sheet p1'!$AQ$7:$AQ$35)/10,0))</f>
        <v>0</v>
      </c>
      <c r="DX426" s="240">
        <f t="shared" si="274"/>
        <v>0</v>
      </c>
      <c r="DY426" s="36">
        <f t="shared" si="280"/>
        <v>9</v>
      </c>
      <c r="DZ426" s="36" t="str">
        <f t="shared" si="271"/>
        <v/>
      </c>
      <c r="EE426" s="36">
        <f t="shared" si="279"/>
        <v>1</v>
      </c>
    </row>
    <row r="427" spans="118:135">
      <c r="DN427" s="32">
        <v>426</v>
      </c>
      <c r="DO427" s="34" t="s">
        <v>721</v>
      </c>
      <c r="DP427" s="38">
        <f t="shared" si="278"/>
        <v>0</v>
      </c>
      <c r="DQ427" s="173" t="str">
        <f t="shared" si="272"/>
        <v>(Warf) 0</v>
      </c>
      <c r="DR427" s="36" t="str">
        <f t="shared" si="273"/>
        <v/>
      </c>
      <c r="DV427" s="176">
        <f t="shared" si="270"/>
        <v>0</v>
      </c>
      <c r="DW427" s="243">
        <f>IF(COUNTIF('Char Sheet p1'!$AP$7:$AP$35,DQ427)=0,0,ROUNDDOWN(SUMIF('Char Sheet p1'!$AP$7:$AP$35,DQ427,'Char Sheet p1'!$AQ$7:$AQ$35)/10,0))</f>
        <v>0</v>
      </c>
      <c r="DX427" s="240">
        <f t="shared" si="274"/>
        <v>0</v>
      </c>
      <c r="DY427" s="36">
        <f t="shared" si="280"/>
        <v>10</v>
      </c>
      <c r="DZ427" s="36" t="str">
        <f t="shared" si="271"/>
        <v/>
      </c>
      <c r="EE427" s="36">
        <f t="shared" si="279"/>
        <v>1</v>
      </c>
    </row>
    <row r="428" spans="118:135">
      <c r="DN428" s="32">
        <v>427</v>
      </c>
      <c r="DO428" s="34" t="s">
        <v>721</v>
      </c>
      <c r="DP428" s="38">
        <f t="shared" si="278"/>
        <v>0</v>
      </c>
      <c r="DQ428" s="173" t="str">
        <f t="shared" si="272"/>
        <v>(Warf) 0</v>
      </c>
      <c r="DR428" s="36" t="str">
        <f t="shared" si="273"/>
        <v/>
      </c>
      <c r="DV428" s="176">
        <f t="shared" si="270"/>
        <v>0</v>
      </c>
      <c r="DW428" s="243">
        <f>IF(COUNTIF('Char Sheet p1'!$AP$7:$AP$35,DQ428)=0,0,ROUNDDOWN(SUMIF('Char Sheet p1'!$AP$7:$AP$35,DQ428,'Char Sheet p1'!$AQ$7:$AQ$35)/10,0))</f>
        <v>0</v>
      </c>
      <c r="DX428" s="240">
        <f t="shared" si="274"/>
        <v>0</v>
      </c>
      <c r="DY428" s="36">
        <f t="shared" si="280"/>
        <v>11</v>
      </c>
      <c r="DZ428" s="36" t="str">
        <f t="shared" si="271"/>
        <v/>
      </c>
      <c r="EE428" s="36">
        <f t="shared" si="279"/>
        <v>1</v>
      </c>
    </row>
    <row r="429" spans="118:135">
      <c r="DN429" s="32">
        <v>428</v>
      </c>
      <c r="DO429" s="34" t="s">
        <v>721</v>
      </c>
      <c r="DP429" s="38">
        <f t="shared" si="278"/>
        <v>0</v>
      </c>
      <c r="DQ429" s="173" t="str">
        <f t="shared" si="272"/>
        <v>(Warf) 0</v>
      </c>
      <c r="DR429" s="36" t="str">
        <f t="shared" si="273"/>
        <v/>
      </c>
      <c r="DV429" s="176">
        <f t="shared" si="270"/>
        <v>0</v>
      </c>
      <c r="DW429" s="243">
        <f>IF(COUNTIF('Char Sheet p1'!$AP$7:$AP$35,DQ429)=0,0,ROUNDDOWN(SUMIF('Char Sheet p1'!$AP$7:$AP$35,DQ429,'Char Sheet p1'!$AQ$7:$AQ$35)/10,0))</f>
        <v>0</v>
      </c>
      <c r="DX429" s="240">
        <f t="shared" si="274"/>
        <v>0</v>
      </c>
      <c r="DY429" s="36">
        <f t="shared" si="280"/>
        <v>12</v>
      </c>
      <c r="DZ429" s="36" t="str">
        <f t="shared" si="271"/>
        <v/>
      </c>
      <c r="EE429" s="36">
        <f t="shared" si="279"/>
        <v>1</v>
      </c>
    </row>
    <row r="430" spans="118:135">
      <c r="DN430" s="32">
        <v>429</v>
      </c>
      <c r="DO430" s="34" t="s">
        <v>721</v>
      </c>
      <c r="DP430" s="38">
        <f t="shared" si="278"/>
        <v>0</v>
      </c>
      <c r="DQ430" s="173" t="str">
        <f t="shared" si="272"/>
        <v>(Warf) 0</v>
      </c>
      <c r="DR430" s="36" t="str">
        <f t="shared" si="273"/>
        <v/>
      </c>
      <c r="DV430" s="176">
        <f t="shared" si="270"/>
        <v>0</v>
      </c>
      <c r="DW430" s="243">
        <f>IF(COUNTIF('Char Sheet p1'!$AP$7:$AP$35,DQ430)=0,0,ROUNDDOWN(SUMIF('Char Sheet p1'!$AP$7:$AP$35,DQ430,'Char Sheet p1'!$AQ$7:$AQ$35)/10,0))</f>
        <v>0</v>
      </c>
      <c r="DX430" s="240">
        <f t="shared" si="274"/>
        <v>0</v>
      </c>
      <c r="DY430" s="36">
        <f t="shared" si="280"/>
        <v>13</v>
      </c>
      <c r="DZ430" s="36" t="str">
        <f t="shared" si="271"/>
        <v/>
      </c>
      <c r="EE430" s="36">
        <f t="shared" si="279"/>
        <v>1</v>
      </c>
    </row>
    <row r="431" spans="118:135">
      <c r="DN431" s="32">
        <v>430</v>
      </c>
      <c r="DO431" s="34" t="s">
        <v>721</v>
      </c>
      <c r="DP431" s="38">
        <f t="shared" si="278"/>
        <v>0</v>
      </c>
      <c r="DQ431" s="173" t="str">
        <f t="shared" si="272"/>
        <v>(Warf) 0</v>
      </c>
      <c r="DR431" s="36" t="str">
        <f t="shared" si="273"/>
        <v/>
      </c>
      <c r="DV431" s="176">
        <f t="shared" si="270"/>
        <v>0</v>
      </c>
      <c r="DW431" s="243">
        <f>IF(COUNTIF('Char Sheet p1'!$AP$7:$AP$35,DQ431)=0,0,ROUNDDOWN(SUMIF('Char Sheet p1'!$AP$7:$AP$35,DQ431,'Char Sheet p1'!$AQ$7:$AQ$35)/10,0))</f>
        <v>0</v>
      </c>
      <c r="DX431" s="240">
        <f t="shared" si="274"/>
        <v>0</v>
      </c>
      <c r="DY431" s="36">
        <f t="shared" si="280"/>
        <v>14</v>
      </c>
      <c r="DZ431" s="36" t="str">
        <f t="shared" si="271"/>
        <v/>
      </c>
      <c r="EE431" s="36">
        <f t="shared" si="279"/>
        <v>1</v>
      </c>
    </row>
    <row r="432" spans="118:135">
      <c r="DN432" s="32">
        <v>431</v>
      </c>
      <c r="DO432" s="34" t="s">
        <v>721</v>
      </c>
      <c r="DP432" s="38">
        <f t="shared" si="278"/>
        <v>0</v>
      </c>
      <c r="DQ432" s="173" t="str">
        <f t="shared" si="272"/>
        <v>(Warf) 0</v>
      </c>
      <c r="DR432" s="36" t="str">
        <f t="shared" si="273"/>
        <v/>
      </c>
      <c r="DV432" s="176">
        <f t="shared" si="270"/>
        <v>0</v>
      </c>
      <c r="DW432" s="243">
        <f>IF(COUNTIF('Char Sheet p1'!$AP$7:$AP$35,DQ432)=0,0,ROUNDDOWN(SUMIF('Char Sheet p1'!$AP$7:$AP$35,DQ432,'Char Sheet p1'!$AQ$7:$AQ$35)/10,0))</f>
        <v>0</v>
      </c>
      <c r="DX432" s="240">
        <f t="shared" si="274"/>
        <v>0</v>
      </c>
      <c r="DY432" s="36">
        <f t="shared" si="280"/>
        <v>15</v>
      </c>
      <c r="DZ432" s="36" t="str">
        <f t="shared" si="271"/>
        <v/>
      </c>
      <c r="EE432" s="36">
        <f t="shared" si="279"/>
        <v>1</v>
      </c>
    </row>
    <row r="433" spans="118:135">
      <c r="DN433" s="32">
        <v>432</v>
      </c>
      <c r="DO433" s="34" t="s">
        <v>721</v>
      </c>
      <c r="DP433" s="38">
        <f t="shared" si="278"/>
        <v>0</v>
      </c>
      <c r="DQ433" s="173" t="str">
        <f t="shared" si="272"/>
        <v>(Warf) 0</v>
      </c>
      <c r="DR433" s="36" t="str">
        <f t="shared" si="273"/>
        <v/>
      </c>
      <c r="DV433" s="176">
        <f t="shared" si="270"/>
        <v>0</v>
      </c>
      <c r="DW433" s="243">
        <f>IF(COUNTIF('Char Sheet p1'!$AP$7:$AP$35,DQ433)=0,0,ROUNDDOWN(SUMIF('Char Sheet p1'!$AP$7:$AP$35,DQ433,'Char Sheet p1'!$AQ$7:$AQ$35)/10,0))</f>
        <v>0</v>
      </c>
      <c r="DX433" s="240">
        <f t="shared" si="274"/>
        <v>0</v>
      </c>
      <c r="DY433" s="36">
        <f t="shared" si="280"/>
        <v>16</v>
      </c>
      <c r="DZ433" s="36" t="str">
        <f t="shared" si="271"/>
        <v/>
      </c>
      <c r="EE433" s="36">
        <f t="shared" si="279"/>
        <v>1</v>
      </c>
    </row>
    <row r="434" spans="118:135">
      <c r="DN434" s="32">
        <v>433</v>
      </c>
      <c r="DO434" s="34" t="s">
        <v>721</v>
      </c>
      <c r="DP434" s="38">
        <f t="shared" si="278"/>
        <v>0</v>
      </c>
      <c r="DQ434" s="173" t="str">
        <f t="shared" si="272"/>
        <v>(Warf) 0</v>
      </c>
      <c r="DR434" s="36" t="str">
        <f t="shared" si="273"/>
        <v/>
      </c>
      <c r="DV434" s="176">
        <f t="shared" si="270"/>
        <v>0</v>
      </c>
      <c r="DW434" s="243">
        <f>IF(COUNTIF('Char Sheet p1'!$AP$7:$AP$35,DQ434)=0,0,ROUNDDOWN(SUMIF('Char Sheet p1'!$AP$7:$AP$35,DQ434,'Char Sheet p1'!$AQ$7:$AQ$35)/10,0))</f>
        <v>0</v>
      </c>
      <c r="DX434" s="240">
        <f t="shared" si="274"/>
        <v>0</v>
      </c>
      <c r="DY434" s="36">
        <f t="shared" si="280"/>
        <v>17</v>
      </c>
      <c r="DZ434" s="36" t="str">
        <f t="shared" si="271"/>
        <v/>
      </c>
      <c r="EE434" s="36">
        <f t="shared" si="279"/>
        <v>1</v>
      </c>
    </row>
    <row r="435" spans="118:135">
      <c r="DN435" s="32">
        <v>434</v>
      </c>
      <c r="DO435" s="34" t="s">
        <v>721</v>
      </c>
      <c r="DP435" s="38">
        <f t="shared" si="278"/>
        <v>0</v>
      </c>
      <c r="DQ435" s="173" t="str">
        <f t="shared" si="272"/>
        <v>(Warf) 0</v>
      </c>
      <c r="DR435" s="36" t="str">
        <f t="shared" si="273"/>
        <v/>
      </c>
      <c r="DV435" s="176">
        <f t="shared" si="270"/>
        <v>0</v>
      </c>
      <c r="DW435" s="243">
        <f>IF(COUNTIF('Char Sheet p1'!$AP$7:$AP$35,DQ435)=0,0,ROUNDDOWN(SUMIF('Char Sheet p1'!$AP$7:$AP$35,DQ435,'Char Sheet p1'!$AQ$7:$AQ$35)/10,0))</f>
        <v>0</v>
      </c>
      <c r="DX435" s="240">
        <f t="shared" si="274"/>
        <v>0</v>
      </c>
      <c r="DY435" s="36">
        <f t="shared" si="280"/>
        <v>18</v>
      </c>
      <c r="DZ435" s="36" t="str">
        <f t="shared" si="271"/>
        <v/>
      </c>
      <c r="EE435" s="36">
        <f t="shared" si="279"/>
        <v>1</v>
      </c>
    </row>
    <row r="436" spans="118:135">
      <c r="DN436" s="32">
        <v>435</v>
      </c>
      <c r="DO436" s="34" t="s">
        <v>721</v>
      </c>
      <c r="DP436" s="38">
        <f t="shared" si="278"/>
        <v>0</v>
      </c>
      <c r="DQ436" s="173" t="str">
        <f t="shared" si="272"/>
        <v>(Warf) 0</v>
      </c>
      <c r="DR436" s="36" t="str">
        <f t="shared" si="273"/>
        <v/>
      </c>
      <c r="DV436" s="176">
        <f t="shared" si="270"/>
        <v>0</v>
      </c>
      <c r="DW436" s="243">
        <f>IF(COUNTIF('Char Sheet p1'!$AP$7:$AP$35,DQ436)=0,0,ROUNDDOWN(SUMIF('Char Sheet p1'!$AP$7:$AP$35,DQ436,'Char Sheet p1'!$AQ$7:$AQ$35)/10,0))</f>
        <v>0</v>
      </c>
      <c r="DX436" s="240">
        <f t="shared" si="274"/>
        <v>0</v>
      </c>
      <c r="DY436" s="36">
        <f t="shared" si="280"/>
        <v>19</v>
      </c>
      <c r="DZ436" s="36" t="str">
        <f t="shared" si="271"/>
        <v/>
      </c>
      <c r="EE436" s="36">
        <f t="shared" si="279"/>
        <v>1</v>
      </c>
    </row>
    <row r="437" spans="118:135">
      <c r="DN437" s="32">
        <v>436</v>
      </c>
      <c r="DO437" s="34" t="s">
        <v>721</v>
      </c>
      <c r="DP437" s="38">
        <f t="shared" si="278"/>
        <v>0</v>
      </c>
      <c r="DQ437" s="173" t="str">
        <f t="shared" si="272"/>
        <v>(Warf) 0</v>
      </c>
      <c r="DR437" s="36" t="str">
        <f t="shared" si="273"/>
        <v/>
      </c>
      <c r="DV437" s="176">
        <f t="shared" si="270"/>
        <v>0</v>
      </c>
      <c r="DW437" s="243">
        <f>IF(COUNTIF('Char Sheet p1'!$AP$7:$AP$35,DQ437)=0,0,ROUNDDOWN(SUMIF('Char Sheet p1'!$AP$7:$AP$35,DQ437,'Char Sheet p1'!$AQ$7:$AQ$35)/10,0))</f>
        <v>0</v>
      </c>
      <c r="DX437" s="240">
        <f t="shared" si="274"/>
        <v>0</v>
      </c>
      <c r="DY437" s="36">
        <f t="shared" si="280"/>
        <v>20</v>
      </c>
      <c r="DZ437" s="36" t="str">
        <f t="shared" si="271"/>
        <v/>
      </c>
      <c r="EE437" s="36">
        <f t="shared" si="279"/>
        <v>1</v>
      </c>
    </row>
    <row r="438" spans="118:135">
      <c r="DN438" s="32">
        <v>437</v>
      </c>
      <c r="DO438" s="34" t="s">
        <v>721</v>
      </c>
      <c r="DP438" s="38">
        <f t="shared" si="278"/>
        <v>0</v>
      </c>
      <c r="DQ438" s="173" t="str">
        <f t="shared" si="272"/>
        <v>(Warf) 0</v>
      </c>
      <c r="DR438" s="36" t="str">
        <f t="shared" si="273"/>
        <v/>
      </c>
      <c r="DV438" s="176">
        <f t="shared" si="270"/>
        <v>0</v>
      </c>
      <c r="DW438" s="243">
        <f>IF(COUNTIF('Char Sheet p1'!$AP$7:$AP$35,DQ438)=0,0,ROUNDDOWN(SUMIF('Char Sheet p1'!$AP$7:$AP$35,DQ438,'Char Sheet p1'!$AQ$7:$AQ$35)/10,0))</f>
        <v>0</v>
      </c>
      <c r="DX438" s="240">
        <f t="shared" si="274"/>
        <v>0</v>
      </c>
      <c r="DY438" s="36">
        <f t="shared" si="280"/>
        <v>21</v>
      </c>
      <c r="DZ438" s="36" t="str">
        <f t="shared" si="271"/>
        <v/>
      </c>
      <c r="EE438" s="36">
        <f t="shared" si="279"/>
        <v>1</v>
      </c>
    </row>
    <row r="439" spans="118:135">
      <c r="DN439" s="32">
        <v>438</v>
      </c>
      <c r="DO439" s="34" t="s">
        <v>721</v>
      </c>
      <c r="DP439" s="38">
        <f t="shared" si="278"/>
        <v>0</v>
      </c>
      <c r="DQ439" s="173" t="str">
        <f t="shared" si="272"/>
        <v>(Warf) 0</v>
      </c>
      <c r="DR439" s="36" t="str">
        <f t="shared" si="273"/>
        <v/>
      </c>
      <c r="DV439" s="176">
        <f t="shared" si="270"/>
        <v>0</v>
      </c>
      <c r="DW439" s="243">
        <f>IF(COUNTIF('Char Sheet p1'!$AP$7:$AP$35,DQ439)=0,0,ROUNDDOWN(SUMIF('Char Sheet p1'!$AP$7:$AP$35,DQ439,'Char Sheet p1'!$AQ$7:$AQ$35)/10,0))</f>
        <v>0</v>
      </c>
      <c r="DX439" s="240">
        <f t="shared" si="274"/>
        <v>0</v>
      </c>
      <c r="DY439" s="36">
        <f t="shared" si="280"/>
        <v>22</v>
      </c>
      <c r="DZ439" s="36" t="str">
        <f t="shared" si="271"/>
        <v/>
      </c>
      <c r="EE439" s="36">
        <f t="shared" si="279"/>
        <v>1</v>
      </c>
    </row>
    <row r="440" spans="118:135">
      <c r="DN440" s="32">
        <v>439</v>
      </c>
      <c r="DO440" s="34" t="s">
        <v>721</v>
      </c>
      <c r="DP440" s="38">
        <f t="shared" si="278"/>
        <v>0</v>
      </c>
      <c r="DQ440" s="173" t="str">
        <f t="shared" si="272"/>
        <v>(Warf) 0</v>
      </c>
      <c r="DR440" s="36" t="str">
        <f t="shared" si="273"/>
        <v/>
      </c>
      <c r="DV440" s="176">
        <f t="shared" si="270"/>
        <v>0</v>
      </c>
      <c r="DW440" s="243">
        <f>IF(COUNTIF('Char Sheet p1'!$AP$7:$AP$35,DQ440)=0,0,ROUNDDOWN(SUMIF('Char Sheet p1'!$AP$7:$AP$35,DQ440,'Char Sheet p1'!$AQ$7:$AQ$35)/10,0))</f>
        <v>0</v>
      </c>
      <c r="DX440" s="240">
        <f t="shared" si="274"/>
        <v>0</v>
      </c>
      <c r="DY440" s="36">
        <f t="shared" si="280"/>
        <v>23</v>
      </c>
      <c r="DZ440" s="36" t="str">
        <f t="shared" si="271"/>
        <v/>
      </c>
      <c r="EE440" s="36">
        <f t="shared" si="279"/>
        <v>1</v>
      </c>
    </row>
    <row r="441" spans="118:135">
      <c r="DN441" s="32">
        <v>440</v>
      </c>
      <c r="DO441" s="34" t="s">
        <v>721</v>
      </c>
      <c r="DP441" s="38">
        <f t="shared" si="278"/>
        <v>0</v>
      </c>
      <c r="DQ441" s="173" t="str">
        <f t="shared" si="272"/>
        <v>(Warf) 0</v>
      </c>
      <c r="DR441" s="36" t="str">
        <f t="shared" si="273"/>
        <v/>
      </c>
      <c r="DV441" s="176">
        <f t="shared" si="270"/>
        <v>0</v>
      </c>
      <c r="DW441" s="243">
        <f>IF(COUNTIF('Char Sheet p1'!$AP$7:$AP$35,DQ441)=0,0,ROUNDDOWN(SUMIF('Char Sheet p1'!$AP$7:$AP$35,DQ441,'Char Sheet p1'!$AQ$7:$AQ$35)/10,0))</f>
        <v>0</v>
      </c>
      <c r="DX441" s="240">
        <f t="shared" si="274"/>
        <v>0</v>
      </c>
      <c r="DY441" s="36">
        <f t="shared" si="280"/>
        <v>24</v>
      </c>
      <c r="DZ441" s="36" t="str">
        <f t="shared" si="271"/>
        <v/>
      </c>
      <c r="EE441" s="36">
        <f t="shared" si="279"/>
        <v>1</v>
      </c>
    </row>
    <row r="442" spans="118:135">
      <c r="DN442" s="32">
        <v>441</v>
      </c>
      <c r="DO442" s="34" t="s">
        <v>721</v>
      </c>
      <c r="DP442" s="38">
        <f t="shared" si="278"/>
        <v>0</v>
      </c>
      <c r="DQ442" s="173" t="str">
        <f t="shared" si="272"/>
        <v>(Warf) 0</v>
      </c>
      <c r="DR442" s="36" t="str">
        <f t="shared" si="273"/>
        <v/>
      </c>
      <c r="DV442" s="176">
        <f t="shared" si="270"/>
        <v>0</v>
      </c>
      <c r="DW442" s="243">
        <f>IF(COUNTIF('Char Sheet p1'!$AP$7:$AP$35,DQ442)=0,0,ROUNDDOWN(SUMIF('Char Sheet p1'!$AP$7:$AP$35,DQ442,'Char Sheet p1'!$AQ$7:$AQ$35)/10,0))</f>
        <v>0</v>
      </c>
      <c r="DX442" s="240">
        <f t="shared" si="274"/>
        <v>0</v>
      </c>
      <c r="DY442" s="36">
        <f t="shared" si="280"/>
        <v>25</v>
      </c>
      <c r="DZ442" s="36" t="str">
        <f t="shared" si="271"/>
        <v/>
      </c>
      <c r="EE442" s="36">
        <f t="shared" si="279"/>
        <v>1</v>
      </c>
    </row>
    <row r="443" spans="118:135">
      <c r="DN443" s="32">
        <v>442</v>
      </c>
      <c r="DO443" s="34" t="s">
        <v>721</v>
      </c>
      <c r="DP443" s="38">
        <f t="shared" si="278"/>
        <v>0</v>
      </c>
      <c r="DQ443" s="173" t="str">
        <f t="shared" si="272"/>
        <v>(Warf) 0</v>
      </c>
      <c r="DR443" s="36" t="str">
        <f t="shared" si="273"/>
        <v/>
      </c>
      <c r="DV443" s="176">
        <f t="shared" si="270"/>
        <v>0</v>
      </c>
      <c r="DW443" s="243">
        <f>IF(COUNTIF('Char Sheet p1'!$AP$7:$AP$35,DQ443)=0,0,ROUNDDOWN(SUMIF('Char Sheet p1'!$AP$7:$AP$35,DQ443,'Char Sheet p1'!$AQ$7:$AQ$35)/10,0))</f>
        <v>0</v>
      </c>
      <c r="DX443" s="240">
        <f t="shared" si="274"/>
        <v>0</v>
      </c>
      <c r="DY443" s="36">
        <f t="shared" si="280"/>
        <v>26</v>
      </c>
      <c r="DZ443" s="36" t="str">
        <f t="shared" si="271"/>
        <v/>
      </c>
      <c r="EE443" s="55">
        <f t="shared" si="279"/>
        <v>1</v>
      </c>
    </row>
    <row r="444" spans="118:135">
      <c r="DN444" s="32">
        <v>443</v>
      </c>
      <c r="DO444" s="34" t="s">
        <v>725</v>
      </c>
      <c r="DP444" s="38" t="str">
        <f t="shared" ref="DP444:DP469" si="281">AD2</f>
        <v>Coordinate</v>
      </c>
      <c r="DQ444" s="173" t="str">
        <f t="shared" si="272"/>
        <v>(Will) Coordinate</v>
      </c>
      <c r="DR444" s="36">
        <f t="shared" si="273"/>
        <v>443</v>
      </c>
      <c r="DV444" s="176">
        <f t="shared" si="270"/>
        <v>0</v>
      </c>
      <c r="DW444" s="243">
        <f>IF(COUNTIF('Char Sheet p1'!$AP$7:$AP$35,DQ444)=0,0,ROUNDDOWN(SUMIF('Char Sheet p1'!$AP$7:$AP$35,DQ444,'Char Sheet p1'!$AQ$7:$AQ$35)/10,0))</f>
        <v>0</v>
      </c>
      <c r="DX444" s="240">
        <f t="shared" si="274"/>
        <v>0</v>
      </c>
      <c r="DY444" s="36">
        <v>1</v>
      </c>
      <c r="DZ444" s="36" t="str">
        <f t="shared" si="271"/>
        <v/>
      </c>
      <c r="EE444" s="245">
        <f>'Char Sheet p1'!T30</f>
        <v>3</v>
      </c>
    </row>
    <row r="445" spans="118:135">
      <c r="DN445" s="32">
        <v>444</v>
      </c>
      <c r="DO445" s="34" t="s">
        <v>725</v>
      </c>
      <c r="DP445" s="38" t="str">
        <f t="shared" si="281"/>
        <v>Courage</v>
      </c>
      <c r="DQ445" s="173" t="str">
        <f t="shared" si="272"/>
        <v>(Will) Courage</v>
      </c>
      <c r="DR445" s="36">
        <f t="shared" si="273"/>
        <v>444</v>
      </c>
      <c r="DV445" s="176">
        <f t="shared" si="270"/>
        <v>0</v>
      </c>
      <c r="DW445" s="243">
        <f>IF(COUNTIF('Char Sheet p1'!$AP$7:$AP$35,DQ445)=0,0,ROUNDDOWN(SUMIF('Char Sheet p1'!$AP$7:$AP$35,DQ445,'Char Sheet p1'!$AQ$7:$AQ$35)/10,0))</f>
        <v>0</v>
      </c>
      <c r="DX445" s="240">
        <f t="shared" si="274"/>
        <v>0</v>
      </c>
      <c r="DY445" s="36">
        <v>2</v>
      </c>
      <c r="DZ445" s="36" t="str">
        <f t="shared" si="271"/>
        <v/>
      </c>
      <c r="EE445" s="36">
        <f>EE444</f>
        <v>3</v>
      </c>
    </row>
    <row r="446" spans="118:135">
      <c r="DN446" s="32">
        <v>445</v>
      </c>
      <c r="DO446" s="34" t="s">
        <v>725</v>
      </c>
      <c r="DP446" s="38" t="str">
        <f t="shared" si="281"/>
        <v>Dedication</v>
      </c>
      <c r="DQ446" s="173" t="str">
        <f t="shared" si="272"/>
        <v>(Will) Dedication</v>
      </c>
      <c r="DR446" s="36">
        <f t="shared" si="273"/>
        <v>445</v>
      </c>
      <c r="DV446" s="176">
        <f t="shared" si="270"/>
        <v>0</v>
      </c>
      <c r="DW446" s="243">
        <f>IF(COUNTIF('Char Sheet p1'!$AP$7:$AP$35,DQ446)=0,0,ROUNDDOWN(SUMIF('Char Sheet p1'!$AP$7:$AP$35,DQ446,'Char Sheet p1'!$AQ$7:$AQ$35)/10,0))</f>
        <v>0</v>
      </c>
      <c r="DX446" s="240">
        <f t="shared" si="274"/>
        <v>0</v>
      </c>
      <c r="DY446" s="36">
        <v>3</v>
      </c>
      <c r="DZ446" s="36" t="str">
        <f t="shared" si="271"/>
        <v/>
      </c>
      <c r="EE446" s="36">
        <f t="shared" ref="EE446:EE469" si="282">EE445</f>
        <v>3</v>
      </c>
    </row>
    <row r="447" spans="118:135">
      <c r="DN447" s="32">
        <v>446</v>
      </c>
      <c r="DO447" s="34" t="s">
        <v>725</v>
      </c>
      <c r="DP447" s="38">
        <f t="shared" si="281"/>
        <v>0</v>
      </c>
      <c r="DQ447" s="173" t="str">
        <f t="shared" si="272"/>
        <v>(Will) 0</v>
      </c>
      <c r="DR447" s="36" t="str">
        <f t="shared" si="273"/>
        <v/>
      </c>
      <c r="DV447" s="176">
        <f t="shared" si="270"/>
        <v>0</v>
      </c>
      <c r="DW447" s="243">
        <f>IF(COUNTIF('Char Sheet p1'!$AP$7:$AP$35,DQ447)=0,0,ROUNDDOWN(SUMIF('Char Sheet p1'!$AP$7:$AP$35,DQ447,'Char Sheet p1'!$AQ$7:$AQ$35)/10,0))</f>
        <v>0</v>
      </c>
      <c r="DX447" s="240">
        <f t="shared" si="274"/>
        <v>0</v>
      </c>
      <c r="DY447" s="36">
        <v>4</v>
      </c>
      <c r="DZ447" s="36" t="str">
        <f t="shared" si="271"/>
        <v/>
      </c>
      <c r="EE447" s="36">
        <f t="shared" si="282"/>
        <v>3</v>
      </c>
    </row>
    <row r="448" spans="118:135">
      <c r="DN448" s="32">
        <v>447</v>
      </c>
      <c r="DO448" s="34" t="s">
        <v>725</v>
      </c>
      <c r="DP448" s="38">
        <f t="shared" si="281"/>
        <v>0</v>
      </c>
      <c r="DQ448" s="173" t="str">
        <f t="shared" si="272"/>
        <v>(Will) 0</v>
      </c>
      <c r="DR448" s="36" t="str">
        <f t="shared" si="273"/>
        <v/>
      </c>
      <c r="DV448" s="176">
        <f t="shared" si="270"/>
        <v>0</v>
      </c>
      <c r="DW448" s="243">
        <f>IF(COUNTIF('Char Sheet p1'!$AP$7:$AP$35,DQ448)=0,0,ROUNDDOWN(SUMIF('Char Sheet p1'!$AP$7:$AP$35,DQ448,'Char Sheet p1'!$AQ$7:$AQ$35)/10,0))</f>
        <v>0</v>
      </c>
      <c r="DX448" s="240">
        <f t="shared" si="274"/>
        <v>0</v>
      </c>
      <c r="DY448" s="36">
        <f>DY447+1</f>
        <v>5</v>
      </c>
      <c r="DZ448" s="36" t="str">
        <f t="shared" si="271"/>
        <v/>
      </c>
      <c r="EE448" s="36">
        <f t="shared" si="282"/>
        <v>3</v>
      </c>
    </row>
    <row r="449" spans="118:135">
      <c r="DN449" s="32">
        <v>448</v>
      </c>
      <c r="DO449" s="34" t="s">
        <v>725</v>
      </c>
      <c r="DP449" s="38">
        <f t="shared" si="281"/>
        <v>0</v>
      </c>
      <c r="DQ449" s="173" t="str">
        <f t="shared" si="272"/>
        <v>(Will) 0</v>
      </c>
      <c r="DR449" s="36" t="str">
        <f t="shared" si="273"/>
        <v/>
      </c>
      <c r="DV449" s="176">
        <f t="shared" si="270"/>
        <v>0</v>
      </c>
      <c r="DW449" s="243">
        <f>IF(COUNTIF('Char Sheet p1'!$AP$7:$AP$35,DQ449)=0,0,ROUNDDOWN(SUMIF('Char Sheet p1'!$AP$7:$AP$35,DQ449,'Char Sheet p1'!$AQ$7:$AQ$35)/10,0))</f>
        <v>0</v>
      </c>
      <c r="DX449" s="240">
        <f t="shared" si="274"/>
        <v>0</v>
      </c>
      <c r="DY449" s="36">
        <f t="shared" ref="DY449:DY469" si="283">DY448+1</f>
        <v>6</v>
      </c>
      <c r="DZ449" s="36" t="str">
        <f t="shared" si="271"/>
        <v/>
      </c>
      <c r="EE449" s="36">
        <f t="shared" si="282"/>
        <v>3</v>
      </c>
    </row>
    <row r="450" spans="118:135">
      <c r="DN450" s="32">
        <v>449</v>
      </c>
      <c r="DO450" s="34" t="s">
        <v>725</v>
      </c>
      <c r="DP450" s="38">
        <f t="shared" si="281"/>
        <v>0</v>
      </c>
      <c r="DQ450" s="173" t="str">
        <f t="shared" si="272"/>
        <v>(Will) 0</v>
      </c>
      <c r="DR450" s="36" t="str">
        <f t="shared" si="273"/>
        <v/>
      </c>
      <c r="DV450" s="176">
        <f t="shared" ref="DV450:DV469" si="284">IF(DP450=0,0,SUMIF($DT$2:$DT$58,DP450,$DU$2:$DU$58))</f>
        <v>0</v>
      </c>
      <c r="DW450" s="243">
        <f>IF(COUNTIF('Char Sheet p1'!$AP$7:$AP$35,DQ450)=0,0,ROUNDDOWN(SUMIF('Char Sheet p1'!$AP$7:$AP$35,DQ450,'Char Sheet p1'!$AQ$7:$AQ$35)/10,0))</f>
        <v>0</v>
      </c>
      <c r="DX450" s="240">
        <f t="shared" si="274"/>
        <v>0</v>
      </c>
      <c r="DY450" s="36">
        <f t="shared" si="283"/>
        <v>7</v>
      </c>
      <c r="DZ450" s="36" t="str">
        <f t="shared" ref="DZ450:DZ469" si="285">IF(DX450=0,"",IF(endchargen=0,"",DY450))</f>
        <v/>
      </c>
      <c r="EE450" s="36">
        <f t="shared" si="282"/>
        <v>3</v>
      </c>
    </row>
    <row r="451" spans="118:135">
      <c r="DN451" s="32">
        <v>450</v>
      </c>
      <c r="DO451" s="34" t="s">
        <v>725</v>
      </c>
      <c r="DP451" s="38">
        <f t="shared" si="281"/>
        <v>0</v>
      </c>
      <c r="DQ451" s="173" t="str">
        <f t="shared" ref="DQ451:DQ469" si="286">"("&amp;LEFT(DO451,4)&amp;") "&amp;DP451</f>
        <v>(Will) 0</v>
      </c>
      <c r="DR451" s="36" t="str">
        <f t="shared" ref="DR451:DR469" si="287">IF(DP451=0,"",DN451)</f>
        <v/>
      </c>
      <c r="DV451" s="176">
        <f t="shared" si="284"/>
        <v>0</v>
      </c>
      <c r="DW451" s="243">
        <f>IF(COUNTIF('Char Sheet p1'!$AP$7:$AP$35,DQ451)=0,0,ROUNDDOWN(SUMIF('Char Sheet p1'!$AP$7:$AP$35,DQ451,'Char Sheet p1'!$AQ$7:$AQ$35)/10,0))</f>
        <v>0</v>
      </c>
      <c r="DX451" s="240">
        <f t="shared" ref="DX451:DX469" si="288">DW451+DV451</f>
        <v>0</v>
      </c>
      <c r="DY451" s="36">
        <f t="shared" si="283"/>
        <v>8</v>
      </c>
      <c r="DZ451" s="36" t="str">
        <f t="shared" si="285"/>
        <v/>
      </c>
      <c r="EE451" s="36">
        <f t="shared" si="282"/>
        <v>3</v>
      </c>
    </row>
    <row r="452" spans="118:135">
      <c r="DN452" s="32">
        <v>451</v>
      </c>
      <c r="DO452" s="34" t="s">
        <v>725</v>
      </c>
      <c r="DP452" s="38">
        <f t="shared" si="281"/>
        <v>0</v>
      </c>
      <c r="DQ452" s="173" t="str">
        <f t="shared" si="286"/>
        <v>(Will) 0</v>
      </c>
      <c r="DR452" s="36" t="str">
        <f t="shared" si="287"/>
        <v/>
      </c>
      <c r="DV452" s="176">
        <f t="shared" si="284"/>
        <v>0</v>
      </c>
      <c r="DW452" s="243">
        <f>IF(COUNTIF('Char Sheet p1'!$AP$7:$AP$35,DQ452)=0,0,ROUNDDOWN(SUMIF('Char Sheet p1'!$AP$7:$AP$35,DQ452,'Char Sheet p1'!$AQ$7:$AQ$35)/10,0))</f>
        <v>0</v>
      </c>
      <c r="DX452" s="240">
        <f t="shared" si="288"/>
        <v>0</v>
      </c>
      <c r="DY452" s="36">
        <f t="shared" si="283"/>
        <v>9</v>
      </c>
      <c r="DZ452" s="36" t="str">
        <f t="shared" si="285"/>
        <v/>
      </c>
      <c r="EE452" s="36">
        <f t="shared" si="282"/>
        <v>3</v>
      </c>
    </row>
    <row r="453" spans="118:135">
      <c r="DN453" s="32">
        <v>452</v>
      </c>
      <c r="DO453" s="34" t="s">
        <v>725</v>
      </c>
      <c r="DP453" s="38">
        <f t="shared" si="281"/>
        <v>0</v>
      </c>
      <c r="DQ453" s="173" t="str">
        <f t="shared" si="286"/>
        <v>(Will) 0</v>
      </c>
      <c r="DR453" s="36" t="str">
        <f t="shared" si="287"/>
        <v/>
      </c>
      <c r="DV453" s="176">
        <f t="shared" si="284"/>
        <v>0</v>
      </c>
      <c r="DW453" s="243">
        <f>IF(COUNTIF('Char Sheet p1'!$AP$7:$AP$35,DQ453)=0,0,ROUNDDOWN(SUMIF('Char Sheet p1'!$AP$7:$AP$35,DQ453,'Char Sheet p1'!$AQ$7:$AQ$35)/10,0))</f>
        <v>0</v>
      </c>
      <c r="DX453" s="240">
        <f t="shared" si="288"/>
        <v>0</v>
      </c>
      <c r="DY453" s="36">
        <f t="shared" si="283"/>
        <v>10</v>
      </c>
      <c r="DZ453" s="36" t="str">
        <f t="shared" si="285"/>
        <v/>
      </c>
      <c r="EE453" s="36">
        <f t="shared" si="282"/>
        <v>3</v>
      </c>
    </row>
    <row r="454" spans="118:135">
      <c r="DN454" s="32">
        <v>453</v>
      </c>
      <c r="DO454" s="34" t="s">
        <v>725</v>
      </c>
      <c r="DP454" s="38">
        <f t="shared" si="281"/>
        <v>0</v>
      </c>
      <c r="DQ454" s="173" t="str">
        <f t="shared" si="286"/>
        <v>(Will) 0</v>
      </c>
      <c r="DR454" s="36" t="str">
        <f t="shared" si="287"/>
        <v/>
      </c>
      <c r="DV454" s="176">
        <f t="shared" si="284"/>
        <v>0</v>
      </c>
      <c r="DW454" s="243">
        <f>IF(COUNTIF('Char Sheet p1'!$AP$7:$AP$35,DQ454)=0,0,ROUNDDOWN(SUMIF('Char Sheet p1'!$AP$7:$AP$35,DQ454,'Char Sheet p1'!$AQ$7:$AQ$35)/10,0))</f>
        <v>0</v>
      </c>
      <c r="DX454" s="240">
        <f t="shared" si="288"/>
        <v>0</v>
      </c>
      <c r="DY454" s="36">
        <f t="shared" si="283"/>
        <v>11</v>
      </c>
      <c r="DZ454" s="36" t="str">
        <f t="shared" si="285"/>
        <v/>
      </c>
      <c r="EE454" s="36">
        <f t="shared" si="282"/>
        <v>3</v>
      </c>
    </row>
    <row r="455" spans="118:135">
      <c r="DN455" s="32">
        <v>454</v>
      </c>
      <c r="DO455" s="34" t="s">
        <v>725</v>
      </c>
      <c r="DP455" s="38">
        <f t="shared" si="281"/>
        <v>0</v>
      </c>
      <c r="DQ455" s="173" t="str">
        <f t="shared" si="286"/>
        <v>(Will) 0</v>
      </c>
      <c r="DR455" s="36" t="str">
        <f t="shared" si="287"/>
        <v/>
      </c>
      <c r="DV455" s="176">
        <f t="shared" si="284"/>
        <v>0</v>
      </c>
      <c r="DW455" s="243">
        <f>IF(COUNTIF('Char Sheet p1'!$AP$7:$AP$35,DQ455)=0,0,ROUNDDOWN(SUMIF('Char Sheet p1'!$AP$7:$AP$35,DQ455,'Char Sheet p1'!$AQ$7:$AQ$35)/10,0))</f>
        <v>0</v>
      </c>
      <c r="DX455" s="240">
        <f t="shared" si="288"/>
        <v>0</v>
      </c>
      <c r="DY455" s="36">
        <f t="shared" si="283"/>
        <v>12</v>
      </c>
      <c r="DZ455" s="36" t="str">
        <f t="shared" si="285"/>
        <v/>
      </c>
      <c r="EE455" s="36">
        <f t="shared" si="282"/>
        <v>3</v>
      </c>
    </row>
    <row r="456" spans="118:135">
      <c r="DN456" s="32">
        <v>455</v>
      </c>
      <c r="DO456" s="34" t="s">
        <v>725</v>
      </c>
      <c r="DP456" s="38">
        <f t="shared" si="281"/>
        <v>0</v>
      </c>
      <c r="DQ456" s="173" t="str">
        <f t="shared" si="286"/>
        <v>(Will) 0</v>
      </c>
      <c r="DR456" s="36" t="str">
        <f t="shared" si="287"/>
        <v/>
      </c>
      <c r="DV456" s="176">
        <f t="shared" si="284"/>
        <v>0</v>
      </c>
      <c r="DW456" s="243">
        <f>IF(COUNTIF('Char Sheet p1'!$AP$7:$AP$35,DQ456)=0,0,ROUNDDOWN(SUMIF('Char Sheet p1'!$AP$7:$AP$35,DQ456,'Char Sheet p1'!$AQ$7:$AQ$35)/10,0))</f>
        <v>0</v>
      </c>
      <c r="DX456" s="240">
        <f t="shared" si="288"/>
        <v>0</v>
      </c>
      <c r="DY456" s="36">
        <f t="shared" si="283"/>
        <v>13</v>
      </c>
      <c r="DZ456" s="36" t="str">
        <f t="shared" si="285"/>
        <v/>
      </c>
      <c r="EE456" s="36">
        <f t="shared" si="282"/>
        <v>3</v>
      </c>
    </row>
    <row r="457" spans="118:135">
      <c r="DN457" s="32">
        <v>456</v>
      </c>
      <c r="DO457" s="34" t="s">
        <v>725</v>
      </c>
      <c r="DP457" s="38">
        <f t="shared" si="281"/>
        <v>0</v>
      </c>
      <c r="DQ457" s="173" t="str">
        <f t="shared" si="286"/>
        <v>(Will) 0</v>
      </c>
      <c r="DR457" s="36" t="str">
        <f t="shared" si="287"/>
        <v/>
      </c>
      <c r="DV457" s="176">
        <f t="shared" si="284"/>
        <v>0</v>
      </c>
      <c r="DW457" s="243">
        <f>IF(COUNTIF('Char Sheet p1'!$AP$7:$AP$35,DQ457)=0,0,ROUNDDOWN(SUMIF('Char Sheet p1'!$AP$7:$AP$35,DQ457,'Char Sheet p1'!$AQ$7:$AQ$35)/10,0))</f>
        <v>0</v>
      </c>
      <c r="DX457" s="240">
        <f t="shared" si="288"/>
        <v>0</v>
      </c>
      <c r="DY457" s="36">
        <f t="shared" si="283"/>
        <v>14</v>
      </c>
      <c r="DZ457" s="36" t="str">
        <f t="shared" si="285"/>
        <v/>
      </c>
      <c r="EE457" s="36">
        <f t="shared" si="282"/>
        <v>3</v>
      </c>
    </row>
    <row r="458" spans="118:135">
      <c r="DN458" s="32">
        <v>457</v>
      </c>
      <c r="DO458" s="34" t="s">
        <v>725</v>
      </c>
      <c r="DP458" s="38">
        <f t="shared" si="281"/>
        <v>0</v>
      </c>
      <c r="DQ458" s="173" t="str">
        <f t="shared" si="286"/>
        <v>(Will) 0</v>
      </c>
      <c r="DR458" s="36" t="str">
        <f t="shared" si="287"/>
        <v/>
      </c>
      <c r="DV458" s="176">
        <f t="shared" si="284"/>
        <v>0</v>
      </c>
      <c r="DW458" s="243">
        <f>IF(COUNTIF('Char Sheet p1'!$AP$7:$AP$35,DQ458)=0,0,ROUNDDOWN(SUMIF('Char Sheet p1'!$AP$7:$AP$35,DQ458,'Char Sheet p1'!$AQ$7:$AQ$35)/10,0))</f>
        <v>0</v>
      </c>
      <c r="DX458" s="240">
        <f t="shared" si="288"/>
        <v>0</v>
      </c>
      <c r="DY458" s="36">
        <f t="shared" si="283"/>
        <v>15</v>
      </c>
      <c r="DZ458" s="36" t="str">
        <f t="shared" si="285"/>
        <v/>
      </c>
      <c r="EE458" s="36">
        <f t="shared" si="282"/>
        <v>3</v>
      </c>
    </row>
    <row r="459" spans="118:135">
      <c r="DN459" s="32">
        <v>458</v>
      </c>
      <c r="DO459" s="34" t="s">
        <v>725</v>
      </c>
      <c r="DP459" s="38">
        <f t="shared" si="281"/>
        <v>0</v>
      </c>
      <c r="DQ459" s="173" t="str">
        <f t="shared" si="286"/>
        <v>(Will) 0</v>
      </c>
      <c r="DR459" s="36" t="str">
        <f t="shared" si="287"/>
        <v/>
      </c>
      <c r="DV459" s="176">
        <f t="shared" si="284"/>
        <v>0</v>
      </c>
      <c r="DW459" s="243">
        <f>IF(COUNTIF('Char Sheet p1'!$AP$7:$AP$35,DQ459)=0,0,ROUNDDOWN(SUMIF('Char Sheet p1'!$AP$7:$AP$35,DQ459,'Char Sheet p1'!$AQ$7:$AQ$35)/10,0))</f>
        <v>0</v>
      </c>
      <c r="DX459" s="240">
        <f t="shared" si="288"/>
        <v>0</v>
      </c>
      <c r="DY459" s="36">
        <f t="shared" si="283"/>
        <v>16</v>
      </c>
      <c r="DZ459" s="36" t="str">
        <f t="shared" si="285"/>
        <v/>
      </c>
      <c r="EE459" s="36">
        <f t="shared" si="282"/>
        <v>3</v>
      </c>
    </row>
    <row r="460" spans="118:135">
      <c r="DN460" s="32">
        <v>459</v>
      </c>
      <c r="DO460" s="34" t="s">
        <v>725</v>
      </c>
      <c r="DP460" s="38">
        <f t="shared" si="281"/>
        <v>0</v>
      </c>
      <c r="DQ460" s="173" t="str">
        <f t="shared" si="286"/>
        <v>(Will) 0</v>
      </c>
      <c r="DR460" s="36" t="str">
        <f t="shared" si="287"/>
        <v/>
      </c>
      <c r="DV460" s="176">
        <f t="shared" si="284"/>
        <v>0</v>
      </c>
      <c r="DW460" s="243">
        <f>IF(COUNTIF('Char Sheet p1'!$AP$7:$AP$35,DQ460)=0,0,ROUNDDOWN(SUMIF('Char Sheet p1'!$AP$7:$AP$35,DQ460,'Char Sheet p1'!$AQ$7:$AQ$35)/10,0))</f>
        <v>0</v>
      </c>
      <c r="DX460" s="240">
        <f t="shared" si="288"/>
        <v>0</v>
      </c>
      <c r="DY460" s="36">
        <f t="shared" si="283"/>
        <v>17</v>
      </c>
      <c r="DZ460" s="36" t="str">
        <f t="shared" si="285"/>
        <v/>
      </c>
      <c r="EE460" s="36">
        <f t="shared" si="282"/>
        <v>3</v>
      </c>
    </row>
    <row r="461" spans="118:135">
      <c r="DN461" s="32">
        <v>460</v>
      </c>
      <c r="DO461" s="34" t="s">
        <v>725</v>
      </c>
      <c r="DP461" s="38">
        <f t="shared" si="281"/>
        <v>0</v>
      </c>
      <c r="DQ461" s="173" t="str">
        <f t="shared" si="286"/>
        <v>(Will) 0</v>
      </c>
      <c r="DR461" s="36" t="str">
        <f t="shared" si="287"/>
        <v/>
      </c>
      <c r="DV461" s="176">
        <f t="shared" si="284"/>
        <v>0</v>
      </c>
      <c r="DW461" s="243">
        <f>IF(COUNTIF('Char Sheet p1'!$AP$7:$AP$35,DQ461)=0,0,ROUNDDOWN(SUMIF('Char Sheet p1'!$AP$7:$AP$35,DQ461,'Char Sheet p1'!$AQ$7:$AQ$35)/10,0))</f>
        <v>0</v>
      </c>
      <c r="DX461" s="240">
        <f t="shared" si="288"/>
        <v>0</v>
      </c>
      <c r="DY461" s="36">
        <f t="shared" si="283"/>
        <v>18</v>
      </c>
      <c r="DZ461" s="36" t="str">
        <f t="shared" si="285"/>
        <v/>
      </c>
      <c r="EE461" s="36">
        <f t="shared" si="282"/>
        <v>3</v>
      </c>
    </row>
    <row r="462" spans="118:135">
      <c r="DN462" s="32">
        <v>461</v>
      </c>
      <c r="DO462" s="34" t="s">
        <v>725</v>
      </c>
      <c r="DP462" s="38">
        <f t="shared" si="281"/>
        <v>0</v>
      </c>
      <c r="DQ462" s="173" t="str">
        <f t="shared" si="286"/>
        <v>(Will) 0</v>
      </c>
      <c r="DR462" s="36" t="str">
        <f t="shared" si="287"/>
        <v/>
      </c>
      <c r="DV462" s="176">
        <f t="shared" si="284"/>
        <v>0</v>
      </c>
      <c r="DW462" s="243">
        <f>IF(COUNTIF('Char Sheet p1'!$AP$7:$AP$35,DQ462)=0,0,ROUNDDOWN(SUMIF('Char Sheet p1'!$AP$7:$AP$35,DQ462,'Char Sheet p1'!$AQ$7:$AQ$35)/10,0))</f>
        <v>0</v>
      </c>
      <c r="DX462" s="240">
        <f t="shared" si="288"/>
        <v>0</v>
      </c>
      <c r="DY462" s="36">
        <f t="shared" si="283"/>
        <v>19</v>
      </c>
      <c r="DZ462" s="36" t="str">
        <f t="shared" si="285"/>
        <v/>
      </c>
      <c r="EE462" s="36">
        <f t="shared" si="282"/>
        <v>3</v>
      </c>
    </row>
    <row r="463" spans="118:135">
      <c r="DN463" s="32">
        <v>462</v>
      </c>
      <c r="DO463" s="34" t="s">
        <v>725</v>
      </c>
      <c r="DP463" s="38">
        <f t="shared" si="281"/>
        <v>0</v>
      </c>
      <c r="DQ463" s="173" t="str">
        <f t="shared" si="286"/>
        <v>(Will) 0</v>
      </c>
      <c r="DR463" s="36" t="str">
        <f t="shared" si="287"/>
        <v/>
      </c>
      <c r="DV463" s="176">
        <f t="shared" si="284"/>
        <v>0</v>
      </c>
      <c r="DW463" s="243">
        <f>IF(COUNTIF('Char Sheet p1'!$AP$7:$AP$35,DQ463)=0,0,ROUNDDOWN(SUMIF('Char Sheet p1'!$AP$7:$AP$35,DQ463,'Char Sheet p1'!$AQ$7:$AQ$35)/10,0))</f>
        <v>0</v>
      </c>
      <c r="DX463" s="240">
        <f t="shared" si="288"/>
        <v>0</v>
      </c>
      <c r="DY463" s="36">
        <f t="shared" si="283"/>
        <v>20</v>
      </c>
      <c r="DZ463" s="36" t="str">
        <f t="shared" si="285"/>
        <v/>
      </c>
      <c r="EE463" s="36">
        <f t="shared" si="282"/>
        <v>3</v>
      </c>
    </row>
    <row r="464" spans="118:135">
      <c r="DN464" s="32">
        <v>463</v>
      </c>
      <c r="DO464" s="34" t="s">
        <v>725</v>
      </c>
      <c r="DP464" s="38">
        <f t="shared" si="281"/>
        <v>0</v>
      </c>
      <c r="DQ464" s="173" t="str">
        <f t="shared" si="286"/>
        <v>(Will) 0</v>
      </c>
      <c r="DR464" s="36" t="str">
        <f t="shared" si="287"/>
        <v/>
      </c>
      <c r="DV464" s="176">
        <f t="shared" si="284"/>
        <v>0</v>
      </c>
      <c r="DW464" s="243">
        <f>IF(COUNTIF('Char Sheet p1'!$AP$7:$AP$35,DQ464)=0,0,ROUNDDOWN(SUMIF('Char Sheet p1'!$AP$7:$AP$35,DQ464,'Char Sheet p1'!$AQ$7:$AQ$35)/10,0))</f>
        <v>0</v>
      </c>
      <c r="DX464" s="240">
        <f t="shared" si="288"/>
        <v>0</v>
      </c>
      <c r="DY464" s="36">
        <f t="shared" si="283"/>
        <v>21</v>
      </c>
      <c r="DZ464" s="36" t="str">
        <f t="shared" si="285"/>
        <v/>
      </c>
      <c r="EE464" s="36">
        <f t="shared" si="282"/>
        <v>3</v>
      </c>
    </row>
    <row r="465" spans="118:135">
      <c r="DN465" s="32">
        <v>464</v>
      </c>
      <c r="DO465" s="34" t="s">
        <v>725</v>
      </c>
      <c r="DP465" s="38">
        <f t="shared" si="281"/>
        <v>0</v>
      </c>
      <c r="DQ465" s="173" t="str">
        <f t="shared" si="286"/>
        <v>(Will) 0</v>
      </c>
      <c r="DR465" s="36" t="str">
        <f t="shared" si="287"/>
        <v/>
      </c>
      <c r="DV465" s="176">
        <f t="shared" si="284"/>
        <v>0</v>
      </c>
      <c r="DW465" s="243">
        <f>IF(COUNTIF('Char Sheet p1'!$AP$7:$AP$35,DQ465)=0,0,ROUNDDOWN(SUMIF('Char Sheet p1'!$AP$7:$AP$35,DQ465,'Char Sheet p1'!$AQ$7:$AQ$35)/10,0))</f>
        <v>0</v>
      </c>
      <c r="DX465" s="240">
        <f t="shared" si="288"/>
        <v>0</v>
      </c>
      <c r="DY465" s="36">
        <f t="shared" si="283"/>
        <v>22</v>
      </c>
      <c r="DZ465" s="36" t="str">
        <f t="shared" si="285"/>
        <v/>
      </c>
      <c r="EE465" s="36">
        <f t="shared" si="282"/>
        <v>3</v>
      </c>
    </row>
    <row r="466" spans="118:135">
      <c r="DN466" s="32">
        <v>465</v>
      </c>
      <c r="DO466" s="34" t="s">
        <v>725</v>
      </c>
      <c r="DP466" s="38">
        <f t="shared" si="281"/>
        <v>0</v>
      </c>
      <c r="DQ466" s="173" t="str">
        <f t="shared" si="286"/>
        <v>(Will) 0</v>
      </c>
      <c r="DR466" s="36" t="str">
        <f t="shared" si="287"/>
        <v/>
      </c>
      <c r="DV466" s="176">
        <f t="shared" si="284"/>
        <v>0</v>
      </c>
      <c r="DW466" s="243">
        <f>IF(COUNTIF('Char Sheet p1'!$AP$7:$AP$35,DQ466)=0,0,ROUNDDOWN(SUMIF('Char Sheet p1'!$AP$7:$AP$35,DQ466,'Char Sheet p1'!$AQ$7:$AQ$35)/10,0))</f>
        <v>0</v>
      </c>
      <c r="DX466" s="240">
        <f t="shared" si="288"/>
        <v>0</v>
      </c>
      <c r="DY466" s="36">
        <f t="shared" si="283"/>
        <v>23</v>
      </c>
      <c r="DZ466" s="36" t="str">
        <f t="shared" si="285"/>
        <v/>
      </c>
      <c r="EE466" s="36">
        <f t="shared" si="282"/>
        <v>3</v>
      </c>
    </row>
    <row r="467" spans="118:135">
      <c r="DN467" s="32">
        <v>466</v>
      </c>
      <c r="DO467" s="34" t="s">
        <v>725</v>
      </c>
      <c r="DP467" s="38">
        <f t="shared" si="281"/>
        <v>0</v>
      </c>
      <c r="DQ467" s="173" t="str">
        <f t="shared" si="286"/>
        <v>(Will) 0</v>
      </c>
      <c r="DR467" s="36" t="str">
        <f t="shared" si="287"/>
        <v/>
      </c>
      <c r="DV467" s="176">
        <f t="shared" si="284"/>
        <v>0</v>
      </c>
      <c r="DW467" s="243">
        <f>IF(COUNTIF('Char Sheet p1'!$AP$7:$AP$35,DQ467)=0,0,ROUNDDOWN(SUMIF('Char Sheet p1'!$AP$7:$AP$35,DQ467,'Char Sheet p1'!$AQ$7:$AQ$35)/10,0))</f>
        <v>0</v>
      </c>
      <c r="DX467" s="240">
        <f t="shared" si="288"/>
        <v>0</v>
      </c>
      <c r="DY467" s="36">
        <f t="shared" si="283"/>
        <v>24</v>
      </c>
      <c r="DZ467" s="36" t="str">
        <f t="shared" si="285"/>
        <v/>
      </c>
      <c r="EE467" s="36">
        <f t="shared" si="282"/>
        <v>3</v>
      </c>
    </row>
    <row r="468" spans="118:135">
      <c r="DN468" s="32">
        <v>467</v>
      </c>
      <c r="DO468" s="34" t="s">
        <v>725</v>
      </c>
      <c r="DP468" s="38">
        <f t="shared" si="281"/>
        <v>0</v>
      </c>
      <c r="DQ468" s="173" t="str">
        <f t="shared" si="286"/>
        <v>(Will) 0</v>
      </c>
      <c r="DR468" s="36" t="str">
        <f t="shared" si="287"/>
        <v/>
      </c>
      <c r="DV468" s="176">
        <f t="shared" si="284"/>
        <v>0</v>
      </c>
      <c r="DW468" s="243">
        <f>IF(COUNTIF('Char Sheet p1'!$AP$7:$AP$35,DQ468)=0,0,ROUNDDOWN(SUMIF('Char Sheet p1'!$AP$7:$AP$35,DQ468,'Char Sheet p1'!$AQ$7:$AQ$35)/10,0))</f>
        <v>0</v>
      </c>
      <c r="DX468" s="240">
        <f t="shared" si="288"/>
        <v>0</v>
      </c>
      <c r="DY468" s="36">
        <f t="shared" si="283"/>
        <v>25</v>
      </c>
      <c r="DZ468" s="36" t="str">
        <f t="shared" si="285"/>
        <v/>
      </c>
      <c r="EE468" s="36">
        <f t="shared" si="282"/>
        <v>3</v>
      </c>
    </row>
    <row r="469" spans="118:135">
      <c r="DN469" s="41">
        <v>468</v>
      </c>
      <c r="DO469" s="53" t="s">
        <v>725</v>
      </c>
      <c r="DP469" s="42">
        <f t="shared" si="281"/>
        <v>0</v>
      </c>
      <c r="DQ469" s="174" t="str">
        <f t="shared" si="286"/>
        <v>(Will) 0</v>
      </c>
      <c r="DR469" s="55" t="str">
        <f t="shared" si="287"/>
        <v/>
      </c>
      <c r="DV469" s="177">
        <f t="shared" si="284"/>
        <v>0</v>
      </c>
      <c r="DW469" s="244">
        <f>IF(COUNTIF('Char Sheet p1'!$AP$7:$AP$35,DQ469)=0,0,ROUNDDOWN(SUMIF('Char Sheet p1'!$AP$7:$AP$35,DQ469,'Char Sheet p1'!$AQ$7:$AQ$35)/10,0))</f>
        <v>0</v>
      </c>
      <c r="DX469" s="241">
        <f t="shared" si="288"/>
        <v>0</v>
      </c>
      <c r="DY469" s="55">
        <f t="shared" si="283"/>
        <v>26</v>
      </c>
      <c r="DZ469" s="55" t="str">
        <f t="shared" si="285"/>
        <v/>
      </c>
      <c r="EE469" s="55">
        <f t="shared" si="282"/>
        <v>3</v>
      </c>
    </row>
    <row r="470" spans="118:135">
      <c r="DX470"/>
    </row>
  </sheetData>
  <mergeCells count="4">
    <mergeCell ref="A1:B1"/>
    <mergeCell ref="DH1:DJ1"/>
    <mergeCell ref="DN1:DQ1"/>
    <mergeCell ref="DT1:DV1"/>
  </mergeCells>
  <phoneticPr fontId="1" type="noConversion"/>
  <pageMargins left="0.75" right="0.75" top="1" bottom="1" header="0.5" footer="0.5"/>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workbookViewId="0">
      <selection activeCell="D42" sqref="D42"/>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241</vt:i4>
      </vt:variant>
    </vt:vector>
  </HeadingPairs>
  <TitlesOfParts>
    <vt:vector size="248" baseType="lpstr">
      <vt:lpstr>Instructions</vt:lpstr>
      <vt:lpstr>CharGen</vt:lpstr>
      <vt:lpstr>Char Sheet p1</vt:lpstr>
      <vt:lpstr>Char Sheet p2</vt:lpstr>
      <vt:lpstr>Version</vt:lpstr>
      <vt:lpstr>Tables</vt:lpstr>
      <vt:lpstr>Sheet1</vt:lpstr>
      <vt:lpstr>abilities</vt:lpstr>
      <vt:lpstr>abilitycost</vt:lpstr>
      <vt:lpstr>actagility</vt:lpstr>
      <vt:lpstr>actanimal</vt:lpstr>
      <vt:lpstr>actathletics</vt:lpstr>
      <vt:lpstr>actawareness</vt:lpstr>
      <vt:lpstr>actcunning</vt:lpstr>
      <vt:lpstr>actdeception</vt:lpstr>
      <vt:lpstr>actendurance</vt:lpstr>
      <vt:lpstr>actfighting</vt:lpstr>
      <vt:lpstr>acthealing</vt:lpstr>
      <vt:lpstr>actknowledge</vt:lpstr>
      <vt:lpstr>actlanguage</vt:lpstr>
      <vt:lpstr>actmarksmanship</vt:lpstr>
      <vt:lpstr>actpersuasion</vt:lpstr>
      <vt:lpstr>actstatus</vt:lpstr>
      <vt:lpstr>actstealth</vt:lpstr>
      <vt:lpstr>actsurvival</vt:lpstr>
      <vt:lpstr>actthievery</vt:lpstr>
      <vt:lpstr>actwarfare</vt:lpstr>
      <vt:lpstr>actwill</vt:lpstr>
      <vt:lpstr>age</vt:lpstr>
      <vt:lpstr>agecategory</vt:lpstr>
      <vt:lpstr>agecats</vt:lpstr>
      <vt:lpstr>agelookup</vt:lpstr>
      <vt:lpstr>agetable</vt:lpstr>
      <vt:lpstr>agility</vt:lpstr>
      <vt:lpstr>agilitybonus</vt:lpstr>
      <vt:lpstr>agilitybonus2</vt:lpstr>
      <vt:lpstr>agilitymod</vt:lpstr>
      <vt:lpstr>agilitymod2</vt:lpstr>
      <vt:lpstr>agilityxp</vt:lpstr>
      <vt:lpstr>agispec</vt:lpstr>
      <vt:lpstr>agispecval</vt:lpstr>
      <vt:lpstr>allqualities</vt:lpstr>
      <vt:lpstr>animal</vt:lpstr>
      <vt:lpstr>animalbonus</vt:lpstr>
      <vt:lpstr>animalbonus2</vt:lpstr>
      <vt:lpstr>animalmod</vt:lpstr>
      <vt:lpstr>animalmod2</vt:lpstr>
      <vt:lpstr>animalxp</vt:lpstr>
      <vt:lpstr>anispec</vt:lpstr>
      <vt:lpstr>anispecval</vt:lpstr>
      <vt:lpstr>armour</vt:lpstr>
      <vt:lpstr>armourbonus</vt:lpstr>
      <vt:lpstr>armourbonus2</vt:lpstr>
      <vt:lpstr>armourlist</vt:lpstr>
      <vt:lpstr>armourpen</vt:lpstr>
      <vt:lpstr>armourrating</vt:lpstr>
      <vt:lpstr>armourtable</vt:lpstr>
      <vt:lpstr>athletics</vt:lpstr>
      <vt:lpstr>athleticsbonus</vt:lpstr>
      <vt:lpstr>athleticsbonus2</vt:lpstr>
      <vt:lpstr>athleticsmod</vt:lpstr>
      <vt:lpstr>athleticsmod2</vt:lpstr>
      <vt:lpstr>athleticsxp</vt:lpstr>
      <vt:lpstr>athspec</vt:lpstr>
      <vt:lpstr>athspecval</vt:lpstr>
      <vt:lpstr>awareness</vt:lpstr>
      <vt:lpstr>awarenessbonus</vt:lpstr>
      <vt:lpstr>awarenessbonus2</vt:lpstr>
      <vt:lpstr>awarenessmod</vt:lpstr>
      <vt:lpstr>awarenessmod2</vt:lpstr>
      <vt:lpstr>awarenessxp</vt:lpstr>
      <vt:lpstr>awaspec</vt:lpstr>
      <vt:lpstr>awaspecval</vt:lpstr>
      <vt:lpstr>benefits</vt:lpstr>
      <vt:lpstr>birthright</vt:lpstr>
      <vt:lpstr>bulk</vt:lpstr>
      <vt:lpstr>bulk2</vt:lpstr>
      <vt:lpstr>bulkbonus</vt:lpstr>
      <vt:lpstr>bulkbonus2</vt:lpstr>
      <vt:lpstr>cdbonus</vt:lpstr>
      <vt:lpstr>cdbonus2</vt:lpstr>
      <vt:lpstr>chargencomplete</vt:lpstr>
      <vt:lpstr>chargenspecialities</vt:lpstr>
      <vt:lpstr>compbonus</vt:lpstr>
      <vt:lpstr>compbonus2</vt:lpstr>
      <vt:lpstr>cunning</vt:lpstr>
      <vt:lpstr>cunningbonus</vt:lpstr>
      <vt:lpstr>cunningbonus2</vt:lpstr>
      <vt:lpstr>cunningmod</vt:lpstr>
      <vt:lpstr>cunningmod2</vt:lpstr>
      <vt:lpstr>cunningxp</vt:lpstr>
      <vt:lpstr>cunspec</vt:lpstr>
      <vt:lpstr>cunspecval</vt:lpstr>
      <vt:lpstr>currentdestiny</vt:lpstr>
      <vt:lpstr>deception</vt:lpstr>
      <vt:lpstr>deceptionbonus</vt:lpstr>
      <vt:lpstr>deceptionbonus2</vt:lpstr>
      <vt:lpstr>deceptionmod</vt:lpstr>
      <vt:lpstr>deceptionmod2</vt:lpstr>
      <vt:lpstr>deceptionxp</vt:lpstr>
      <vt:lpstr>decspec</vt:lpstr>
      <vt:lpstr>decspecval</vt:lpstr>
      <vt:lpstr>destiny</vt:lpstr>
      <vt:lpstr>endchargen</vt:lpstr>
      <vt:lpstr>endspec</vt:lpstr>
      <vt:lpstr>endspecval</vt:lpstr>
      <vt:lpstr>endurance</vt:lpstr>
      <vt:lpstr>endurancebonus</vt:lpstr>
      <vt:lpstr>endurancebonus2</vt:lpstr>
      <vt:lpstr>endurancemod</vt:lpstr>
      <vt:lpstr>endurancemod2</vt:lpstr>
      <vt:lpstr>endurancexp</vt:lpstr>
      <vt:lpstr>extralabels</vt:lpstr>
      <vt:lpstr>fighting</vt:lpstr>
      <vt:lpstr>fightingbonus</vt:lpstr>
      <vt:lpstr>fightingbonus2</vt:lpstr>
      <vt:lpstr>fightingmod</vt:lpstr>
      <vt:lpstr>fightingmod2</vt:lpstr>
      <vt:lpstr>fightingxp</vt:lpstr>
      <vt:lpstr>figspec</vt:lpstr>
      <vt:lpstr>figspecval</vt:lpstr>
      <vt:lpstr>flaws</vt:lpstr>
      <vt:lpstr>flawsawarded</vt:lpstr>
      <vt:lpstr>flawstable</vt:lpstr>
      <vt:lpstr>gender</vt:lpstr>
      <vt:lpstr>healing</vt:lpstr>
      <vt:lpstr>healingbonus</vt:lpstr>
      <vt:lpstr>healingbonus2</vt:lpstr>
      <vt:lpstr>healingmod</vt:lpstr>
      <vt:lpstr>healingmod2</vt:lpstr>
      <vt:lpstr>healingxp</vt:lpstr>
      <vt:lpstr>healthbonus</vt:lpstr>
      <vt:lpstr>healthbonus2</vt:lpstr>
      <vt:lpstr>heaspec</vt:lpstr>
      <vt:lpstr>heaspecval</vt:lpstr>
      <vt:lpstr>heritage</vt:lpstr>
      <vt:lpstr>heroicability</vt:lpstr>
      <vt:lpstr>IDbonus</vt:lpstr>
      <vt:lpstr>IDbonus2</vt:lpstr>
      <vt:lpstr>knospec</vt:lpstr>
      <vt:lpstr>knospecval</vt:lpstr>
      <vt:lpstr>knowledge</vt:lpstr>
      <vt:lpstr>knowledgebonus</vt:lpstr>
      <vt:lpstr>knowledgebonus2</vt:lpstr>
      <vt:lpstr>knowledgemod</vt:lpstr>
      <vt:lpstr>knowledgemod2</vt:lpstr>
      <vt:lpstr>knowledgexp</vt:lpstr>
      <vt:lpstr>language</vt:lpstr>
      <vt:lpstr>languagebonus</vt:lpstr>
      <vt:lpstr>languagebonus2</vt:lpstr>
      <vt:lpstr>languagemod</vt:lpstr>
      <vt:lpstr>languagemod2</vt:lpstr>
      <vt:lpstr>languagexp</vt:lpstr>
      <vt:lpstr>marksmanship</vt:lpstr>
      <vt:lpstr>marksmanshipbonus</vt:lpstr>
      <vt:lpstr>marksmanshipbonus2</vt:lpstr>
      <vt:lpstr>marksmanshipmod</vt:lpstr>
      <vt:lpstr>marksmanshipmod2</vt:lpstr>
      <vt:lpstr>marksmanshipxp</vt:lpstr>
      <vt:lpstr>marspec</vt:lpstr>
      <vt:lpstr>marspecval</vt:lpstr>
      <vt:lpstr>maxability</vt:lpstr>
      <vt:lpstr>middleagerange</vt:lpstr>
      <vt:lpstr>move</vt:lpstr>
      <vt:lpstr>movebonus</vt:lpstr>
      <vt:lpstr>movebonus2</vt:lpstr>
      <vt:lpstr>nonerange</vt:lpstr>
      <vt:lpstr>oldrange</vt:lpstr>
      <vt:lpstr>passiveaware</vt:lpstr>
      <vt:lpstr>passiveaware2</vt:lpstr>
      <vt:lpstr>permittedbens</vt:lpstr>
      <vt:lpstr>perspec</vt:lpstr>
      <vt:lpstr>perspecval</vt:lpstr>
      <vt:lpstr>persuasion</vt:lpstr>
      <vt:lpstr>persuasionbonus</vt:lpstr>
      <vt:lpstr>persuasionbonus2</vt:lpstr>
      <vt:lpstr>persuasionmod</vt:lpstr>
      <vt:lpstr>persuasionmod2</vt:lpstr>
      <vt:lpstr>persuasionxp</vt:lpstr>
      <vt:lpstr>playername</vt:lpstr>
      <vt:lpstr>powerful</vt:lpstr>
      <vt:lpstr>'Char Sheet p1'!Print_Area</vt:lpstr>
      <vt:lpstr>CharGen!Print_Area</vt:lpstr>
      <vt:lpstr>Instructions!Print_Area</vt:lpstr>
      <vt:lpstr>qualities</vt:lpstr>
      <vt:lpstr>qualityfull</vt:lpstr>
      <vt:lpstr>qualitylookup</vt:lpstr>
      <vt:lpstr>remainingflaws</vt:lpstr>
      <vt:lpstr>requiredflaws</vt:lpstr>
      <vt:lpstr>shields</vt:lpstr>
      <vt:lpstr>specialist2rank</vt:lpstr>
      <vt:lpstr>speciality1</vt:lpstr>
      <vt:lpstr>speciality1rank</vt:lpstr>
      <vt:lpstr>speciality2</vt:lpstr>
      <vt:lpstr>sprint</vt:lpstr>
      <vt:lpstr>sprintbonus</vt:lpstr>
      <vt:lpstr>sprintbonus2</vt:lpstr>
      <vt:lpstr>staspec</vt:lpstr>
      <vt:lpstr>staspecval</vt:lpstr>
      <vt:lpstr>status</vt:lpstr>
      <vt:lpstr>statusbonus</vt:lpstr>
      <vt:lpstr>statusbonus2</vt:lpstr>
      <vt:lpstr>statusmod</vt:lpstr>
      <vt:lpstr>statusmod2</vt:lpstr>
      <vt:lpstr>statusxp</vt:lpstr>
      <vt:lpstr>stealth</vt:lpstr>
      <vt:lpstr>stealthbonus</vt:lpstr>
      <vt:lpstr>stealthbonus2</vt:lpstr>
      <vt:lpstr>stealthmod</vt:lpstr>
      <vt:lpstr>stealthmod2</vt:lpstr>
      <vt:lpstr>stealthxp</vt:lpstr>
      <vt:lpstr>stespec</vt:lpstr>
      <vt:lpstr>stespecval</vt:lpstr>
      <vt:lpstr>surspec</vt:lpstr>
      <vt:lpstr>surspecval</vt:lpstr>
      <vt:lpstr>survival</vt:lpstr>
      <vt:lpstr>survivalbonus</vt:lpstr>
      <vt:lpstr>survivalbonus2</vt:lpstr>
      <vt:lpstr>survivalmod</vt:lpstr>
      <vt:lpstr>survivalmod2</vt:lpstr>
      <vt:lpstr>survivalxp</vt:lpstr>
      <vt:lpstr>thievery</vt:lpstr>
      <vt:lpstr>thieverybonus</vt:lpstr>
      <vt:lpstr>thieverybonus2</vt:lpstr>
      <vt:lpstr>thieverymod</vt:lpstr>
      <vt:lpstr>thieverymod2</vt:lpstr>
      <vt:lpstr>thieveryxp</vt:lpstr>
      <vt:lpstr>thispec</vt:lpstr>
      <vt:lpstr>thispecval</vt:lpstr>
      <vt:lpstr>warfare</vt:lpstr>
      <vt:lpstr>warfarebonus</vt:lpstr>
      <vt:lpstr>warfarebonus2</vt:lpstr>
      <vt:lpstr>warfaremod</vt:lpstr>
      <vt:lpstr>warfaremod2</vt:lpstr>
      <vt:lpstr>warfarexp</vt:lpstr>
      <vt:lpstr>warspec</vt:lpstr>
      <vt:lpstr>warspecval</vt:lpstr>
      <vt:lpstr>weapontable</vt:lpstr>
      <vt:lpstr>weapontypes</vt:lpstr>
      <vt:lpstr>will</vt:lpstr>
      <vt:lpstr>willbonus</vt:lpstr>
      <vt:lpstr>willbonus2</vt:lpstr>
      <vt:lpstr>willmod</vt:lpstr>
      <vt:lpstr>willmod2</vt:lpstr>
      <vt:lpstr>willxp</vt:lpstr>
      <vt:lpstr>wilspec</vt:lpstr>
      <vt:lpstr>wilspecval</vt:lpstr>
      <vt:lpstr>xpspecialities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SIFRP Character Generation &amp; Advancement Utility</dc:title>
  <dc:creator>PDack</dc:creator>
  <cp:lastModifiedBy>user</cp:lastModifiedBy>
  <cp:lastPrinted>2009-07-10T23:25:08Z</cp:lastPrinted>
  <dcterms:created xsi:type="dcterms:W3CDTF">2009-05-15T20:47:42Z</dcterms:created>
  <dcterms:modified xsi:type="dcterms:W3CDTF">2010-04-20T18:40:02Z</dcterms:modified>
</cp:coreProperties>
</file>